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My Drive\Matt Slade – AI Knowledge Base\Presentations &amp; Decks\"/>
    </mc:Choice>
  </mc:AlternateContent>
  <xr:revisionPtr revIDLastSave="0" documentId="13_ncr:1_{F0DE2190-95F3-4A76-8D89-C1ACEA6E4239}" xr6:coauthVersionLast="47" xr6:coauthVersionMax="47" xr10:uidLastSave="{00000000-0000-0000-0000-000000000000}"/>
  <bookViews>
    <workbookView xWindow="1395" yWindow="750" windowWidth="26610" windowHeight="14580" xr2:uid="{00000000-000D-0000-FFFF-FFFF00000000}"/>
  </bookViews>
  <sheets>
    <sheet name="Comparison" sheetId="1" r:id="rId1"/>
    <sheet name="Current Breakdown" sheetId="2" r:id="rId2"/>
    <sheet name="Archway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27" i="3"/>
  <c r="D10" i="3"/>
  <c r="D11" i="3"/>
  <c r="D12" i="3"/>
  <c r="D26" i="3"/>
  <c r="D19" i="3"/>
  <c r="D24" i="3"/>
  <c r="D15" i="3"/>
  <c r="D16" i="3"/>
  <c r="D17" i="3"/>
  <c r="D20" i="3"/>
  <c r="D22" i="3"/>
  <c r="E12" i="2"/>
  <c r="E10" i="2"/>
  <c r="E11" i="2"/>
  <c r="E8" i="2"/>
  <c r="E7" i="2"/>
  <c r="E6" i="2"/>
  <c r="E5" i="2"/>
  <c r="L8" i="1"/>
  <c r="N8" i="1"/>
  <c r="L9" i="1"/>
  <c r="N9" i="1"/>
  <c r="L10" i="1"/>
  <c r="N10" i="1"/>
  <c r="N11" i="1"/>
  <c r="N12" i="1"/>
  <c r="N13" i="1"/>
  <c r="N15" i="1"/>
  <c r="N20" i="1"/>
  <c r="N28" i="1"/>
  <c r="G8" i="1"/>
  <c r="I8" i="1"/>
  <c r="I10" i="1"/>
  <c r="I13" i="1"/>
  <c r="I28" i="1"/>
  <c r="D8" i="1"/>
  <c r="D9" i="1"/>
  <c r="B10" i="1"/>
  <c r="D10" i="1"/>
  <c r="D11" i="1"/>
  <c r="D12" i="1"/>
  <c r="D15" i="1"/>
  <c r="D16" i="1"/>
  <c r="D17" i="1"/>
  <c r="D20" i="1"/>
  <c r="D28" i="1"/>
  <c r="N24" i="1"/>
  <c r="N26" i="1"/>
  <c r="I12" i="1"/>
  <c r="I9" i="1"/>
  <c r="I15" i="1"/>
  <c r="I20" i="1"/>
  <c r="I24" i="1"/>
  <c r="I26" i="1"/>
  <c r="D24" i="1"/>
  <c r="D25" i="1"/>
  <c r="D26" i="1"/>
  <c r="N21" i="1"/>
</calcChain>
</file>

<file path=xl/sharedStrings.xml><?xml version="1.0" encoding="utf-8"?>
<sst xmlns="http://schemas.openxmlformats.org/spreadsheetml/2006/main" count="97" uniqueCount="58">
  <si>
    <t>Cost</t>
  </si>
  <si>
    <t>Quantity</t>
  </si>
  <si>
    <t>Totals</t>
  </si>
  <si>
    <t>Current Solution</t>
  </si>
  <si>
    <t>Archway</t>
  </si>
  <si>
    <t>Price Per User</t>
  </si>
  <si>
    <t>Price Per User Per Month</t>
  </si>
  <si>
    <t>Hosted Server</t>
  </si>
  <si>
    <t>Server Cost</t>
  </si>
  <si>
    <t>Computers (predicting 5 a year including Office averaged monthly @ $320)</t>
  </si>
  <si>
    <t>Computers (predicting 5 a year including Office averaged monthly @ $1,320)</t>
  </si>
  <si>
    <t>Onsite Technical Work</t>
  </si>
  <si>
    <t>Implementation</t>
  </si>
  <si>
    <t>Office</t>
  </si>
  <si>
    <t>Office 365</t>
  </si>
  <si>
    <t>PIA Discount Users</t>
  </si>
  <si>
    <t>PIA Discount Server</t>
  </si>
  <si>
    <t>Office 365 Migration</t>
  </si>
  <si>
    <t>Monthly Total</t>
  </si>
  <si>
    <t>Setup</t>
  </si>
  <si>
    <t>Year 1</t>
  </si>
  <si>
    <t>Yearly</t>
  </si>
  <si>
    <t>PIA Discount</t>
  </si>
  <si>
    <t>Year 1 After Discounts</t>
  </si>
  <si>
    <t>Total year 1</t>
  </si>
  <si>
    <t>Year 2 Total</t>
  </si>
  <si>
    <t>Year 2</t>
  </si>
  <si>
    <t>One call to handle issues to one vendor, Projects Bid</t>
  </si>
  <si>
    <t>Internal troubleshooting PC assistance is required, I.E. Rich/Zoe/Individual</t>
  </si>
  <si>
    <t>Archway has onsite contractors that bill $90.00 an hour.  They estimate $2000 a year</t>
  </si>
  <si>
    <t>Up to 20 hours a month onsite service included</t>
  </si>
  <si>
    <t>Projects Bid</t>
  </si>
  <si>
    <t>Current Solution Breakdown</t>
  </si>
  <si>
    <t>Monthly</t>
  </si>
  <si>
    <t>Paperwise</t>
  </si>
  <si>
    <t>24 Hour Disaster (Business Interruption)</t>
  </si>
  <si>
    <t>Anti-Virus</t>
  </si>
  <si>
    <t>Server Expense, estimating 3 year @$8,000)</t>
  </si>
  <si>
    <t>Total Monthly Per User</t>
  </si>
  <si>
    <t>Price Per User (not including server)</t>
  </si>
  <si>
    <t>Price Per Month for server</t>
  </si>
  <si>
    <t>Archway Breakdown for Amazon Web Services (AWS)</t>
  </si>
  <si>
    <t>Amazon</t>
  </si>
  <si>
    <t>Units</t>
  </si>
  <si>
    <t>Total</t>
  </si>
  <si>
    <t>AWS Storage 2x vCPU 8 GB Ram 1TB</t>
  </si>
  <si>
    <t>AWS 1TB Backup Server</t>
  </si>
  <si>
    <t>AWS Private Cloud NAT Gateway 1TB limit traffic</t>
  </si>
  <si>
    <t>AWS Standard vCPU 4gb mem, 50GB with Office 2013</t>
  </si>
  <si>
    <t>DaaS Management RDS</t>
  </si>
  <si>
    <t>Server Management (Virtual)</t>
  </si>
  <si>
    <t>Workstation Management</t>
  </si>
  <si>
    <t>AWS Configure Cloud Environment</t>
  </si>
  <si>
    <t>Migration to Virtual</t>
  </si>
  <si>
    <t>Backup Software Integration</t>
  </si>
  <si>
    <t>Initial Setup</t>
  </si>
  <si>
    <t>Average Price per User</t>
  </si>
  <si>
    <t>Monthly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</si>
</sst>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&quot;$&quot;#,##0.00"/>
  </numFmts>
  <fonts count="5">
    <font>
      <sz val="12"/>
      <color indexed="8"/>
      <name val="Calibri"/>
    </font>
    <font>
      <b/>
      <sz val="16"/>
      <color indexed="8"/>
      <name val="Calibri (Body)"/>
    </font>
    <font>
      <b/>
      <sz val="12"/>
      <color indexed="8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3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49" fontId="1" fillId="3" borderId="3" xfId="0" applyNumberFormat="1" applyFont="1" applyFill="1" applyBorder="1"/>
    <xf numFmtId="49" fontId="0" fillId="3" borderId="3" xfId="0" applyNumberFormat="1" applyFill="1" applyBorder="1"/>
    <xf numFmtId="0" fontId="0" fillId="0" borderId="4" xfId="0" applyBorder="1"/>
    <xf numFmtId="49" fontId="1" fillId="4" borderId="3" xfId="0" applyNumberFormat="1" applyFont="1" applyFill="1" applyBorder="1"/>
    <xf numFmtId="49" fontId="0" fillId="4" borderId="3" xfId="0" applyNumberFormat="1" applyFill="1" applyBorder="1"/>
    <xf numFmtId="49" fontId="1" fillId="5" borderId="3" xfId="0" applyNumberFormat="1" applyFont="1" applyFill="1" applyBorder="1"/>
    <xf numFmtId="49" fontId="0" fillId="5" borderId="3" xfId="0" applyNumberFormat="1" applyFill="1" applyBorder="1"/>
    <xf numFmtId="0" fontId="0" fillId="3" borderId="3" xfId="0" applyNumberFormat="1" applyFill="1" applyBorder="1"/>
    <xf numFmtId="164" fontId="0" fillId="3" borderId="3" xfId="0" applyNumberFormat="1" applyFill="1" applyBorder="1"/>
    <xf numFmtId="0" fontId="0" fillId="4" borderId="3" xfId="0" applyNumberFormat="1" applyFill="1" applyBorder="1"/>
    <xf numFmtId="164" fontId="0" fillId="4" borderId="3" xfId="0" applyNumberFormat="1" applyFill="1" applyBorder="1"/>
    <xf numFmtId="0" fontId="0" fillId="5" borderId="3" xfId="0" applyNumberFormat="1" applyFill="1" applyBorder="1"/>
    <xf numFmtId="164" fontId="0" fillId="5" borderId="3" xfId="0" applyNumberFormat="1" applyFill="1" applyBorder="1"/>
    <xf numFmtId="49" fontId="0" fillId="3" borderId="3" xfId="0" applyNumberFormat="1" applyFill="1" applyBorder="1" applyAlignment="1">
      <alignment vertical="top" wrapText="1"/>
    </xf>
    <xf numFmtId="49" fontId="0" fillId="4" borderId="3" xfId="0" applyNumberFormat="1" applyFill="1" applyBorder="1" applyAlignment="1">
      <alignment vertical="top" wrapText="1"/>
    </xf>
    <xf numFmtId="49" fontId="0" fillId="5" borderId="3" xfId="0" applyNumberFormat="1" applyFill="1" applyBorder="1" applyAlignment="1">
      <alignment vertical="top" wrapText="1"/>
    </xf>
    <xf numFmtId="49" fontId="0" fillId="3" borderId="3" xfId="0" applyNumberFormat="1" applyFill="1" applyBorder="1" applyAlignment="1">
      <alignment wrapText="1"/>
    </xf>
    <xf numFmtId="49" fontId="0" fillId="4" borderId="3" xfId="0" applyNumberFormat="1" applyFill="1" applyBorder="1" applyAlignment="1">
      <alignment wrapText="1"/>
    </xf>
    <xf numFmtId="49" fontId="0" fillId="5" borderId="3" xfId="0" applyNumberFormat="1" applyFill="1" applyBorder="1" applyAlignment="1">
      <alignment wrapText="1"/>
    </xf>
    <xf numFmtId="0" fontId="0" fillId="0" borderId="5" xfId="0" applyNumberFormat="1" applyBorder="1"/>
    <xf numFmtId="164" fontId="0" fillId="2" borderId="5" xfId="0" applyNumberFormat="1" applyFill="1" applyBorder="1"/>
    <xf numFmtId="49" fontId="0" fillId="0" borderId="6" xfId="0" applyNumberFormat="1" applyBorder="1"/>
    <xf numFmtId="164" fontId="0" fillId="2" borderId="7" xfId="0" applyNumberFormat="1" applyFill="1" applyBorder="1"/>
    <xf numFmtId="0" fontId="0" fillId="0" borderId="7" xfId="0" applyNumberFormat="1" applyBorder="1"/>
    <xf numFmtId="164" fontId="0" fillId="2" borderId="8" xfId="0" applyNumberFormat="1" applyFill="1" applyBorder="1"/>
    <xf numFmtId="0" fontId="0" fillId="0" borderId="8" xfId="0" applyNumberFormat="1" applyBorder="1"/>
    <xf numFmtId="49" fontId="0" fillId="0" borderId="9" xfId="0" applyNumberFormat="1" applyBorder="1"/>
    <xf numFmtId="164" fontId="0" fillId="2" borderId="2" xfId="0" applyNumberFormat="1" applyFill="1" applyBorder="1"/>
    <xf numFmtId="0" fontId="0" fillId="0" borderId="2" xfId="0" applyNumberFormat="1" applyBorder="1"/>
    <xf numFmtId="164" fontId="0" fillId="2" borderId="10" xfId="0" applyNumberFormat="1" applyFill="1" applyBorder="1"/>
    <xf numFmtId="0" fontId="0" fillId="0" borderId="10" xfId="0" applyNumberFormat="1" applyBorder="1"/>
    <xf numFmtId="49" fontId="0" fillId="0" borderId="1" xfId="0" applyNumberFormat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0" fontId="0" fillId="0" borderId="1" xfId="0" applyNumberFormat="1" applyBorder="1"/>
    <xf numFmtId="164" fontId="0" fillId="0" borderId="1" xfId="0" applyNumberFormat="1" applyBorder="1"/>
    <xf numFmtId="49" fontId="0" fillId="2" borderId="1" xfId="0" applyNumberFormat="1" applyFill="1" applyBorder="1" applyAlignment="1">
      <alignment wrapText="1"/>
    </xf>
    <xf numFmtId="49" fontId="1" fillId="0" borderId="1" xfId="0" applyNumberFormat="1" applyFont="1" applyBorder="1"/>
    <xf numFmtId="49" fontId="2" fillId="0" borderId="1" xfId="0" applyNumberFormat="1" applyFont="1" applyBorder="1"/>
    <xf numFmtId="0" fontId="2" fillId="0" borderId="1" xfId="0" applyNumberFormat="1" applyFont="1" applyBorder="1"/>
    <xf numFmtId="164" fontId="2" fillId="2" borderId="1" xfId="0" applyNumberFormat="1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4C6E7"/>
      <rgbColor rgb="FFFF0000"/>
      <rgbColor rgb="FFFFE598"/>
      <rgbColor rgb="FFC5DEB5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57150</xdr:rowOff>
    </xdr:from>
    <xdr:to>
      <xdr:col>4</xdr:col>
      <xdr:colOff>44450</xdr:colOff>
      <xdr:row>4</xdr:row>
      <xdr:rowOff>120650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84450" y="57150"/>
          <a:ext cx="3568700" cy="876300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Transition Comparison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Cloud Solution VS Traditional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showGridLines="0" tabSelected="1" topLeftCell="A6" workbookViewId="0">
      <selection activeCell="A6" sqref="A6"/>
    </sheetView>
  </sheetViews>
  <sheetFormatPr defaultColWidth="10.625" defaultRowHeight="15.95" customHeight="1"/>
  <cols>
    <col min="1" max="1" width="28" style="1" customWidth="1"/>
    <col min="2" max="2" width="10.875" style="1" customWidth="1"/>
    <col min="3" max="3" width="19" style="1" customWidth="1"/>
    <col min="4" max="4" width="10.875" style="1" customWidth="1"/>
    <col min="5" max="5" width="10.625" style="1" customWidth="1"/>
    <col min="6" max="6" width="22.875" style="1" customWidth="1"/>
    <col min="7" max="7" width="10.875" style="1" customWidth="1"/>
    <col min="8" max="8" width="18.875" style="1" customWidth="1"/>
    <col min="9" max="9" width="10.875" style="1" customWidth="1"/>
    <col min="10" max="10" width="10.625" style="1" customWidth="1"/>
    <col min="11" max="11" width="35" style="1" customWidth="1"/>
    <col min="12" max="12" width="10.125" style="1" customWidth="1"/>
    <col min="13" max="13" width="19.125" style="1" customWidth="1"/>
    <col min="14" max="14" width="10.625" style="1" customWidth="1"/>
    <col min="15" max="256" width="10.625" customWidth="1"/>
  </cols>
  <sheetData>
    <row r="1" spans="1:14" ht="15.95" customHeight="1">
      <c r="A1" s="2"/>
      <c r="B1" s="3"/>
      <c r="C1" s="2"/>
      <c r="D1" s="3"/>
      <c r="E1" s="2"/>
      <c r="F1" s="2"/>
      <c r="G1" s="3"/>
      <c r="H1" s="2"/>
      <c r="I1" s="3"/>
      <c r="J1" s="2"/>
      <c r="K1" s="2"/>
      <c r="L1" s="2"/>
      <c r="M1" s="2"/>
      <c r="N1" s="2"/>
    </row>
    <row r="2" spans="1:14" ht="15.95" customHeight="1">
      <c r="A2" s="2"/>
      <c r="B2" s="3"/>
      <c r="C2" s="2"/>
      <c r="D2" s="3"/>
      <c r="E2" s="2"/>
      <c r="F2" s="2"/>
      <c r="G2" s="3"/>
      <c r="H2" s="2"/>
      <c r="I2" s="3"/>
      <c r="J2" s="2"/>
      <c r="K2" s="2"/>
      <c r="L2" s="2"/>
      <c r="M2" s="2"/>
      <c r="N2" s="2"/>
    </row>
    <row r="3" spans="1:14" ht="15.95" customHeight="1">
      <c r="A3" s="2"/>
      <c r="B3" s="3"/>
      <c r="C3" s="2"/>
      <c r="D3" s="3"/>
      <c r="E3" s="2"/>
      <c r="F3" s="2"/>
      <c r="G3" s="3"/>
      <c r="H3" s="2"/>
      <c r="I3" s="3"/>
      <c r="J3" s="2"/>
      <c r="K3" s="2"/>
      <c r="L3" s="2"/>
      <c r="M3" s="2"/>
      <c r="N3" s="2"/>
    </row>
    <row r="4" spans="1:14" ht="15.95" customHeight="1">
      <c r="A4" s="2"/>
      <c r="B4" s="3"/>
      <c r="C4" s="2"/>
      <c r="D4" s="3"/>
      <c r="E4" s="2"/>
      <c r="F4" s="2"/>
      <c r="G4" s="3"/>
      <c r="H4" s="2"/>
      <c r="I4" s="3"/>
      <c r="J4" s="2"/>
      <c r="K4" s="2"/>
      <c r="L4" s="2"/>
      <c r="M4" s="2"/>
      <c r="N4" s="2"/>
    </row>
    <row r="5" spans="1:14" ht="15.95" customHeight="1">
      <c r="A5" s="4"/>
      <c r="B5" s="5"/>
      <c r="C5" s="4"/>
      <c r="D5" s="5"/>
      <c r="E5" s="2"/>
      <c r="F5" s="4"/>
      <c r="G5" s="5"/>
      <c r="H5" s="4"/>
      <c r="I5" s="5"/>
      <c r="J5" s="2"/>
      <c r="K5" s="4"/>
      <c r="L5" s="4"/>
      <c r="M5" s="4"/>
      <c r="N5" s="4"/>
    </row>
    <row r="6" spans="1:14" ht="21" customHeight="1">
      <c r="A6" s="6"/>
      <c r="B6" s="7" t="s">
        <v>0</v>
      </c>
      <c r="C6" s="7" t="s">
        <v>1</v>
      </c>
      <c r="D6" s="7" t="s">
        <v>2</v>
      </c>
      <c r="E6" s="8"/>
      <c r="F6" s="9" t="s">
        <v>3</v>
      </c>
      <c r="G6" s="10" t="s">
        <v>0</v>
      </c>
      <c r="H6" s="10" t="s">
        <v>1</v>
      </c>
      <c r="I6" s="10" t="s">
        <v>2</v>
      </c>
      <c r="J6" s="8"/>
      <c r="K6" s="11"/>
      <c r="L6" s="12" t="s">
        <v>0</v>
      </c>
      <c r="M6" s="12" t="s">
        <v>1</v>
      </c>
      <c r="N6" s="12" t="s">
        <v>2</v>
      </c>
    </row>
    <row r="7" spans="1:14" ht="15.95" customHeight="1">
      <c r="A7" s="13"/>
      <c r="B7" s="14"/>
      <c r="C7" s="13"/>
      <c r="D7" s="14"/>
      <c r="E7" s="8"/>
      <c r="F7" s="15"/>
      <c r="G7" s="16"/>
      <c r="H7" s="15"/>
      <c r="I7" s="16"/>
      <c r="J7" s="8"/>
      <c r="K7" s="17"/>
      <c r="L7" s="18"/>
      <c r="M7" s="17"/>
      <c r="N7" s="18"/>
    </row>
    <row r="8" spans="1:14" ht="15.95" customHeight="1">
      <c r="A8" s="7" t="s">
        <v>5</v>
      </c>
      <c r="B8" s="14">
        <v>104.99</v>
      </c>
      <c r="C8" s="13">
        <v>45</v>
      </c>
      <c r="D8" s="14">
        <f>SUM(B8*C8)</f>
        <v>4724.55</v>
      </c>
      <c r="E8" s="8"/>
      <c r="F8" s="10" t="s">
        <v>6</v>
      </c>
      <c r="G8" s="16">
        <f>SUM('Current Breakdown'!E11)</f>
        <v>111.17777777777778</v>
      </c>
      <c r="H8" s="15">
        <v>45</v>
      </c>
      <c r="I8" s="16">
        <f>SUM(G8*H8)</f>
        <v>5003</v>
      </c>
      <c r="J8" s="8"/>
      <c r="K8" s="12" t="s">
        <v>5</v>
      </c>
      <c r="L8" s="18">
        <f>SUM(Archway!D26)</f>
        <v>58.333333333333336</v>
      </c>
      <c r="M8" s="17">
        <v>45</v>
      </c>
      <c r="N8" s="18">
        <f>SUM(L8*M8)</f>
        <v>2625</v>
      </c>
    </row>
    <row r="9" spans="1:14" ht="15.95" customHeight="1">
      <c r="A9" s="7" t="s">
        <v>7</v>
      </c>
      <c r="B9" s="14">
        <v>350</v>
      </c>
      <c r="C9" s="13">
        <v>1</v>
      </c>
      <c r="D9" s="14">
        <f>SUM(B9*C9)</f>
        <v>350</v>
      </c>
      <c r="E9" s="8"/>
      <c r="F9" s="10" t="s">
        <v>8</v>
      </c>
      <c r="G9" s="16">
        <v>8000</v>
      </c>
      <c r="H9" s="15">
        <v>1</v>
      </c>
      <c r="I9" s="16">
        <f>G9/12</f>
        <v>666.66666666666663</v>
      </c>
      <c r="J9" s="8"/>
      <c r="K9" s="12" t="s">
        <v>7</v>
      </c>
      <c r="L9" s="18">
        <f>SUM(Archway!D10:D12)</f>
        <v>2625</v>
      </c>
      <c r="M9" s="17">
        <v>1</v>
      </c>
      <c r="N9" s="18">
        <f>SUM(L9*M9)</f>
        <v>2625</v>
      </c>
    </row>
    <row r="10" spans="1:14" ht="63.95" customHeight="1">
      <c r="A10" s="19" t="s">
        <v>9</v>
      </c>
      <c r="B10" s="14">
        <f t="shared" ref="B10:L10" si="0">SUM(320*5)/12</f>
        <v>133.33333333333334</v>
      </c>
      <c r="C10" s="13">
        <v>1</v>
      </c>
      <c r="D10" s="14">
        <f>SUM(B10*C10)</f>
        <v>133.33333333333334</v>
      </c>
      <c r="E10" s="8"/>
      <c r="F10" s="20" t="s">
        <v>10</v>
      </c>
      <c r="G10" s="16">
        <v>550</v>
      </c>
      <c r="H10" s="15">
        <v>1</v>
      </c>
      <c r="I10" s="16">
        <f>G10</f>
        <v>550</v>
      </c>
      <c r="J10" s="8"/>
      <c r="K10" s="21" t="s">
        <v>9</v>
      </c>
      <c r="L10" s="18">
        <f t="shared" si="0"/>
        <v>133.33333333333334</v>
      </c>
      <c r="M10" s="17">
        <v>1</v>
      </c>
      <c r="N10" s="18">
        <f>SUM(L10*M10)</f>
        <v>133.33333333333334</v>
      </c>
    </row>
    <row r="11" spans="1:14" ht="17.100000000000001" customHeight="1">
      <c r="A11" s="22" t="s">
        <v>11</v>
      </c>
      <c r="B11" s="14">
        <v>500</v>
      </c>
      <c r="C11" s="13">
        <v>1</v>
      </c>
      <c r="D11" s="14">
        <f>SUM(B11)</f>
        <v>500</v>
      </c>
      <c r="E11" s="8"/>
      <c r="F11" s="23" t="s">
        <v>11</v>
      </c>
      <c r="G11" s="16">
        <v>0</v>
      </c>
      <c r="H11" s="15">
        <v>0</v>
      </c>
      <c r="I11" s="16">
        <v>0</v>
      </c>
      <c r="J11" s="8"/>
      <c r="K11" s="24" t="s">
        <v>11</v>
      </c>
      <c r="L11" s="18">
        <v>200</v>
      </c>
      <c r="M11" s="17">
        <v>1</v>
      </c>
      <c r="N11" s="18">
        <f>SUM(L11)</f>
        <v>200</v>
      </c>
    </row>
    <row r="12" spans="1:14" ht="15.95" customHeight="1">
      <c r="A12" s="7" t="s">
        <v>12</v>
      </c>
      <c r="B12" s="14">
        <v>14000</v>
      </c>
      <c r="C12" s="13">
        <v>1</v>
      </c>
      <c r="D12" s="14">
        <f>SUM(B12/12)</f>
        <v>1166.6666666666667</v>
      </c>
      <c r="E12" s="8"/>
      <c r="F12" s="10" t="s">
        <v>12</v>
      </c>
      <c r="G12" s="16">
        <v>2000</v>
      </c>
      <c r="H12" s="15">
        <v>0</v>
      </c>
      <c r="I12" s="16">
        <f>SUM(G12/12)</f>
        <v>166.66666666666666</v>
      </c>
      <c r="J12" s="8"/>
      <c r="K12" s="12" t="s">
        <v>12</v>
      </c>
      <c r="L12" s="18">
        <v>5000</v>
      </c>
      <c r="M12" s="17">
        <v>1</v>
      </c>
      <c r="N12" s="18">
        <f>SUM(L12/12)</f>
        <v>416.66666666666669</v>
      </c>
    </row>
    <row r="13" spans="1:14" ht="15.95" customHeight="1">
      <c r="A13" s="7" t="s">
        <v>13</v>
      </c>
      <c r="B13" s="14">
        <v>0</v>
      </c>
      <c r="C13" s="13">
        <v>0</v>
      </c>
      <c r="D13" s="14">
        <v>0</v>
      </c>
      <c r="E13" s="8"/>
      <c r="F13" s="10" t="s">
        <v>14</v>
      </c>
      <c r="G13" s="16">
        <v>8.25</v>
      </c>
      <c r="H13" s="15">
        <v>45</v>
      </c>
      <c r="I13" s="16">
        <f>SUM(G13*H13)</f>
        <v>371.25</v>
      </c>
      <c r="J13" s="8"/>
      <c r="K13" s="12" t="s">
        <v>13</v>
      </c>
      <c r="L13" s="18">
        <v>8.25</v>
      </c>
      <c r="M13" s="17">
        <v>45</v>
      </c>
      <c r="N13" s="18">
        <f>SUM(L13*M13)</f>
        <v>371.25</v>
      </c>
    </row>
    <row r="14" spans="1:14" ht="15.95" customHeight="1">
      <c r="A14" s="13"/>
      <c r="B14" s="14"/>
      <c r="C14" s="13"/>
      <c r="D14" s="14"/>
      <c r="E14" s="8"/>
      <c r="F14" s="15"/>
      <c r="G14" s="16"/>
      <c r="H14" s="15"/>
      <c r="I14" s="16"/>
      <c r="J14" s="8"/>
      <c r="K14" s="17"/>
      <c r="L14" s="18"/>
      <c r="M14" s="17"/>
      <c r="N14" s="18"/>
    </row>
    <row r="15" spans="1:14" ht="15.95" customHeight="1">
      <c r="A15" s="13"/>
      <c r="B15" s="14"/>
      <c r="C15" s="7" t="s">
        <v>2</v>
      </c>
      <c r="D15" s="14">
        <f>SUM(D8:D13)</f>
        <v>6874.55</v>
      </c>
      <c r="E15" s="8"/>
      <c r="F15" s="15"/>
      <c r="G15" s="16"/>
      <c r="H15" s="10" t="s">
        <v>2</v>
      </c>
      <c r="I15" s="16">
        <f>SUM(I11:I13,I8:I13)</f>
        <v>7295.5000000000009</v>
      </c>
      <c r="J15" s="8"/>
      <c r="K15" s="17"/>
      <c r="L15" s="18"/>
      <c r="M15" s="12" t="s">
        <v>2</v>
      </c>
      <c r="N15" s="18">
        <f>SUM(N8:N13)</f>
        <v>6371.25</v>
      </c>
    </row>
    <row r="16" spans="1:14" ht="15.95" customHeight="1">
      <c r="A16" s="13"/>
      <c r="B16" s="14"/>
      <c r="C16" s="7" t="s">
        <v>15</v>
      </c>
      <c r="D16" s="14">
        <f>SUM(C8*10)*-1</f>
        <v>-450</v>
      </c>
      <c r="E16" s="8"/>
      <c r="F16" s="15"/>
      <c r="G16" s="16"/>
      <c r="H16" s="10" t="s">
        <v>15</v>
      </c>
      <c r="I16" s="16">
        <v>0</v>
      </c>
      <c r="J16" s="8"/>
      <c r="K16" s="17"/>
      <c r="L16" s="18"/>
      <c r="M16" s="12" t="s">
        <v>15</v>
      </c>
      <c r="N16" s="18">
        <v>0</v>
      </c>
    </row>
    <row r="17" spans="1:14" ht="15.95" customHeight="1">
      <c r="A17" s="13"/>
      <c r="B17" s="14"/>
      <c r="C17" s="7" t="s">
        <v>16</v>
      </c>
      <c r="D17" s="14">
        <f>SUM(C9*35)*-1</f>
        <v>-35</v>
      </c>
      <c r="E17" s="8"/>
      <c r="F17" s="15"/>
      <c r="G17" s="16"/>
      <c r="H17" s="10" t="s">
        <v>16</v>
      </c>
      <c r="I17" s="16">
        <v>0</v>
      </c>
      <c r="J17" s="8"/>
      <c r="K17" s="17"/>
      <c r="L17" s="18"/>
      <c r="M17" s="12" t="s">
        <v>16</v>
      </c>
      <c r="N17" s="18">
        <v>0</v>
      </c>
    </row>
    <row r="18" spans="1:14" ht="15.95" customHeight="1">
      <c r="A18" s="13"/>
      <c r="B18" s="14"/>
      <c r="C18" s="7" t="s">
        <v>17</v>
      </c>
      <c r="D18" s="14">
        <v>0</v>
      </c>
      <c r="E18" s="8"/>
      <c r="F18" s="15"/>
      <c r="G18" s="16"/>
      <c r="H18" s="15"/>
      <c r="I18" s="16"/>
      <c r="J18" s="8"/>
      <c r="K18" s="17"/>
      <c r="L18" s="18"/>
      <c r="M18" s="12" t="s">
        <v>17</v>
      </c>
      <c r="N18" s="18">
        <v>0</v>
      </c>
    </row>
    <row r="19" spans="1:14" ht="15.95" customHeight="1">
      <c r="A19" s="13"/>
      <c r="B19" s="14"/>
      <c r="C19" s="13"/>
      <c r="D19" s="14"/>
      <c r="E19" s="8"/>
      <c r="F19" s="15"/>
      <c r="G19" s="16"/>
      <c r="H19" s="15"/>
      <c r="I19" s="16"/>
      <c r="J19" s="8"/>
      <c r="K19" s="17"/>
      <c r="L19" s="18"/>
      <c r="M19" s="17"/>
      <c r="N19" s="18"/>
    </row>
    <row r="20" spans="1:14" ht="15.95" customHeight="1">
      <c r="A20" s="13"/>
      <c r="B20" s="14"/>
      <c r="C20" s="7" t="s">
        <v>18</v>
      </c>
      <c r="D20" s="14">
        <f>SUM(D15:D17)</f>
        <v>6389.55</v>
      </c>
      <c r="E20" s="8"/>
      <c r="F20" s="15"/>
      <c r="G20" s="16"/>
      <c r="H20" s="10" t="s">
        <v>18</v>
      </c>
      <c r="I20" s="16">
        <f>SUM(I15:I17)</f>
        <v>7295.5000000000009</v>
      </c>
      <c r="J20" s="8"/>
      <c r="K20" s="17"/>
      <c r="L20" s="18"/>
      <c r="M20" s="12" t="s">
        <v>18</v>
      </c>
      <c r="N20" s="18">
        <f>SUM(N15:N17)</f>
        <v>6371.25</v>
      </c>
    </row>
    <row r="21" spans="1:14" ht="15.95" customHeight="1">
      <c r="A21" s="13"/>
      <c r="B21" s="14"/>
      <c r="C21" s="7" t="s">
        <v>19</v>
      </c>
      <c r="D21" s="14">
        <v>4793</v>
      </c>
      <c r="E21" s="8"/>
      <c r="F21" s="15"/>
      <c r="G21" s="16"/>
      <c r="H21" s="10" t="s">
        <v>19</v>
      </c>
      <c r="I21" s="16">
        <v>0</v>
      </c>
      <c r="J21" s="8"/>
      <c r="K21" s="17"/>
      <c r="L21" s="18"/>
      <c r="M21" s="12" t="s">
        <v>19</v>
      </c>
      <c r="N21" s="18">
        <f>SUM(Archway!D20)</f>
        <v>12120</v>
      </c>
    </row>
    <row r="22" spans="1:14" ht="15.95" customHeight="1">
      <c r="A22" s="13"/>
      <c r="B22" s="14"/>
      <c r="C22" s="14"/>
      <c r="D22" s="14"/>
      <c r="E22" s="8"/>
      <c r="F22" s="15"/>
      <c r="G22" s="16"/>
      <c r="H22" s="15"/>
      <c r="I22" s="16"/>
      <c r="J22" s="8"/>
      <c r="K22" s="17"/>
      <c r="L22" s="18"/>
      <c r="M22" s="18"/>
      <c r="N22" s="18"/>
    </row>
    <row r="23" spans="1:14" ht="15.95" customHeight="1">
      <c r="A23" s="13"/>
      <c r="B23" s="14"/>
      <c r="C23" s="14"/>
      <c r="D23" s="14"/>
      <c r="E23" s="8"/>
      <c r="F23" s="15"/>
      <c r="G23" s="16"/>
      <c r="H23" s="15"/>
      <c r="I23" s="16"/>
      <c r="J23" s="8"/>
      <c r="K23" s="17"/>
      <c r="L23" s="18"/>
      <c r="M23" s="18"/>
      <c r="N23" s="18"/>
    </row>
    <row r="24" spans="1:14" ht="15.95" customHeight="1">
      <c r="A24" s="13"/>
      <c r="B24" s="14"/>
      <c r="C24" s="7" t="s">
        <v>20</v>
      </c>
      <c r="D24" s="14">
        <f>SUM(D15*12)+D15</f>
        <v>89369.150000000009</v>
      </c>
      <c r="E24" s="8"/>
      <c r="F24" s="15"/>
      <c r="G24" s="16"/>
      <c r="H24" s="10" t="s">
        <v>21</v>
      </c>
      <c r="I24" s="16">
        <f>SUM(I20*12)</f>
        <v>87546.000000000015</v>
      </c>
      <c r="J24" s="8"/>
      <c r="K24" s="17"/>
      <c r="L24" s="18"/>
      <c r="M24" s="12" t="s">
        <v>20</v>
      </c>
      <c r="N24" s="18">
        <f>SUM(N15*12)+N15</f>
        <v>82826.25</v>
      </c>
    </row>
    <row r="25" spans="1:14" ht="15.95" customHeight="1">
      <c r="A25" s="13"/>
      <c r="B25" s="14"/>
      <c r="C25" s="7" t="s">
        <v>22</v>
      </c>
      <c r="D25" s="14">
        <f>SUM(D16:D17)*12-(D15-D20)</f>
        <v>-6305</v>
      </c>
      <c r="E25" s="8"/>
      <c r="F25" s="15"/>
      <c r="G25" s="16"/>
      <c r="H25" s="10" t="s">
        <v>17</v>
      </c>
      <c r="I25" s="16">
        <v>2500</v>
      </c>
      <c r="J25" s="8"/>
      <c r="K25" s="17"/>
      <c r="L25" s="18"/>
      <c r="M25" s="12" t="s">
        <v>22</v>
      </c>
      <c r="N25" s="18">
        <v>0</v>
      </c>
    </row>
    <row r="26" spans="1:14" ht="15.95" customHeight="1">
      <c r="A26" s="13"/>
      <c r="B26" s="14"/>
      <c r="C26" s="7" t="s">
        <v>23</v>
      </c>
      <c r="D26" s="14">
        <f>SUM(D24+D25)</f>
        <v>83064.150000000009</v>
      </c>
      <c r="E26" s="8"/>
      <c r="F26" s="15"/>
      <c r="G26" s="16"/>
      <c r="H26" s="10" t="s">
        <v>24</v>
      </c>
      <c r="I26" s="16">
        <f>SUM(I24:I25)</f>
        <v>90046.000000000015</v>
      </c>
      <c r="J26" s="8"/>
      <c r="K26" s="17"/>
      <c r="L26" s="18"/>
      <c r="M26" s="12" t="s">
        <v>23</v>
      </c>
      <c r="N26" s="18">
        <f>SUM(N24+N25)</f>
        <v>82826.25</v>
      </c>
    </row>
    <row r="27" spans="1:14" ht="15.95" customHeight="1">
      <c r="A27" s="13"/>
      <c r="B27" s="14"/>
      <c r="C27" s="13"/>
      <c r="D27" s="14"/>
      <c r="E27" s="8"/>
      <c r="F27" s="15"/>
      <c r="G27" s="16"/>
      <c r="H27" s="15"/>
      <c r="I27" s="16"/>
      <c r="J27" s="8"/>
      <c r="K27" s="17"/>
      <c r="L27" s="18"/>
      <c r="M27" s="17"/>
      <c r="N27" s="18"/>
    </row>
    <row r="28" spans="1:14" ht="15.95" customHeight="1">
      <c r="A28" s="13"/>
      <c r="B28" s="14"/>
      <c r="C28" s="7" t="s">
        <v>25</v>
      </c>
      <c r="D28" s="14">
        <f>SUM(D20*11)</f>
        <v>70285.05</v>
      </c>
      <c r="E28" s="8"/>
      <c r="F28" s="15"/>
      <c r="G28" s="16"/>
      <c r="H28" s="10" t="s">
        <v>26</v>
      </c>
      <c r="I28" s="16">
        <f>SUM(I8,I10,I14,I13)*12</f>
        <v>71091</v>
      </c>
      <c r="J28" s="8"/>
      <c r="K28" s="17"/>
      <c r="L28" s="18"/>
      <c r="M28" s="12" t="s">
        <v>25</v>
      </c>
      <c r="N28" s="18">
        <f>SUM(N20*11)</f>
        <v>70083.75</v>
      </c>
    </row>
    <row r="29" spans="1:14" ht="15.95" customHeight="1">
      <c r="A29" s="25"/>
      <c r="B29" s="26"/>
      <c r="C29" s="25"/>
      <c r="D29" s="26"/>
      <c r="E29" s="2"/>
      <c r="F29" s="25"/>
      <c r="G29" s="26"/>
      <c r="H29" s="25"/>
      <c r="I29" s="26"/>
      <c r="J29" s="2"/>
      <c r="K29" s="25"/>
      <c r="L29" s="25"/>
      <c r="M29" s="25"/>
      <c r="N29" s="25"/>
    </row>
    <row r="30" spans="1:14" ht="15.95" customHeight="1">
      <c r="A30" s="27" t="s">
        <v>27</v>
      </c>
      <c r="B30" s="28"/>
      <c r="C30" s="29"/>
      <c r="D30" s="30"/>
      <c r="E30" s="8"/>
      <c r="F30" s="27" t="s">
        <v>28</v>
      </c>
      <c r="G30" s="28"/>
      <c r="H30" s="29"/>
      <c r="I30" s="30"/>
      <c r="J30" s="8"/>
      <c r="K30" s="27" t="s">
        <v>29</v>
      </c>
      <c r="L30" s="29"/>
      <c r="M30" s="29"/>
      <c r="N30" s="31"/>
    </row>
    <row r="31" spans="1:14" ht="15.95" customHeight="1">
      <c r="A31" s="32" t="s">
        <v>30</v>
      </c>
      <c r="B31" s="33"/>
      <c r="C31" s="34"/>
      <c r="D31" s="35"/>
      <c r="E31" s="8"/>
      <c r="F31" s="32" t="s">
        <v>31</v>
      </c>
      <c r="G31" s="33"/>
      <c r="H31" s="34"/>
      <c r="I31" s="35"/>
      <c r="J31" s="8"/>
      <c r="K31" s="32" t="s">
        <v>31</v>
      </c>
      <c r="L31" s="34"/>
      <c r="M31" s="34"/>
      <c r="N31" s="36"/>
    </row>
  </sheetData>
  <conditionalFormatting sqref="F6:I6 B6:B21 D6:D21 L6:L21 N6:N21 G7:G14 I7:I14 G15:I15 G16:G31 I16:I31 B22:D23 L22:N23 B24:B25 D24:D25 L24:L25 N24:N25 B26:D26 L26:N26 L27:L28 N27:N28 B27:B31 D27:D31">
    <cfRule type="cellIs" dxfId="2" priority="1" stopIfTrue="1" operator="lessThan">
      <formula>0</formula>
    </cfRule>
  </conditionalFormatting>
  <pageMargins left="0.7" right="0.7" top="0.75" bottom="0.75" header="0.3" footer="0.3"/>
  <pageSetup orientation="landscape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showGridLines="0" workbookViewId="0"/>
  </sheetViews>
  <sheetFormatPr defaultColWidth="10.625" defaultRowHeight="15.95" customHeight="1"/>
  <cols>
    <col min="1" max="1" width="33" style="1" customWidth="1"/>
    <col min="2" max="2" width="34.5" style="1" customWidth="1"/>
    <col min="3" max="3" width="12.125" style="1" customWidth="1"/>
    <col min="4" max="4" width="10.625" style="1" customWidth="1"/>
    <col min="5" max="5" width="11.125" style="1" customWidth="1"/>
    <col min="6" max="256" width="10.625" customWidth="1"/>
  </cols>
  <sheetData>
    <row r="1" spans="1:5" ht="17.100000000000001" customHeight="1">
      <c r="A1" s="2"/>
      <c r="B1" s="3"/>
      <c r="C1" s="2"/>
      <c r="D1" s="2"/>
      <c r="E1" s="2"/>
    </row>
    <row r="2" spans="1:5" ht="17.100000000000001" customHeight="1">
      <c r="A2" s="37" t="s">
        <v>32</v>
      </c>
      <c r="B2" s="3"/>
      <c r="C2" s="2"/>
      <c r="D2" s="2"/>
      <c r="E2" s="2"/>
    </row>
    <row r="3" spans="1:5" ht="17.100000000000001" customHeight="1">
      <c r="A3" s="2"/>
      <c r="B3" s="3"/>
      <c r="C3" s="2"/>
      <c r="D3" s="2"/>
      <c r="E3" s="2"/>
    </row>
    <row r="4" spans="1:5" ht="17.100000000000001" customHeight="1">
      <c r="A4" s="2"/>
      <c r="B4" s="38" t="s">
        <v>33</v>
      </c>
      <c r="C4" s="37" t="s">
        <v>1</v>
      </c>
      <c r="D4" s="2"/>
      <c r="E4" s="37" t="s">
        <v>0</v>
      </c>
    </row>
    <row r="5" spans="1:5" ht="17.100000000000001" customHeight="1">
      <c r="A5" s="37" t="s">
        <v>34</v>
      </c>
      <c r="B5" s="39">
        <v>4500</v>
      </c>
      <c r="C5" s="40">
        <v>1</v>
      </c>
      <c r="D5" s="2"/>
      <c r="E5" s="41">
        <f>SUM(B5*C5)*12</f>
        <v>54000</v>
      </c>
    </row>
    <row r="6" spans="1:5" ht="17.100000000000001" customHeight="1">
      <c r="A6" s="37" t="s">
        <v>35</v>
      </c>
      <c r="B6" s="39">
        <v>500</v>
      </c>
      <c r="C6" s="40">
        <v>1</v>
      </c>
      <c r="D6" s="2"/>
      <c r="E6" s="41">
        <f>SUM(B6*C6)*12</f>
        <v>6000</v>
      </c>
    </row>
    <row r="7" spans="1:5" ht="17.100000000000001" customHeight="1">
      <c r="A7" s="37" t="s">
        <v>36</v>
      </c>
      <c r="B7" s="39">
        <v>3</v>
      </c>
      <c r="C7" s="40">
        <v>50</v>
      </c>
      <c r="D7" s="2"/>
      <c r="E7" s="41">
        <f>SUM(B7*C7)*12</f>
        <v>1800</v>
      </c>
    </row>
    <row r="8" spans="1:5" ht="32.1" customHeight="1">
      <c r="A8" s="42" t="s">
        <v>37</v>
      </c>
      <c r="B8" s="39">
        <v>222</v>
      </c>
      <c r="C8" s="40">
        <v>12</v>
      </c>
      <c r="D8" s="2"/>
      <c r="E8" s="41">
        <f>SUM(B8*C8)</f>
        <v>2664</v>
      </c>
    </row>
    <row r="9" spans="1:5" ht="17.100000000000001" customHeight="1">
      <c r="A9" s="2"/>
      <c r="B9" s="3"/>
      <c r="C9" s="2"/>
      <c r="D9" s="2"/>
      <c r="E9" s="2"/>
    </row>
    <row r="10" spans="1:5" ht="17.100000000000001" customHeight="1">
      <c r="A10" s="2"/>
      <c r="B10" s="38" t="s">
        <v>38</v>
      </c>
      <c r="C10" s="2"/>
      <c r="D10" s="2"/>
      <c r="E10" s="41">
        <f>SUM(B5:B7)</f>
        <v>5003</v>
      </c>
    </row>
    <row r="11" spans="1:5" ht="17.100000000000001" customHeight="1">
      <c r="A11" s="2"/>
      <c r="B11" s="38" t="s">
        <v>39</v>
      </c>
      <c r="C11" s="2"/>
      <c r="D11" s="2"/>
      <c r="E11" s="41">
        <f>SUM(E10/45)</f>
        <v>111.17777777777778</v>
      </c>
    </row>
    <row r="12" spans="1:5" ht="17.100000000000001" customHeight="1">
      <c r="A12" s="2"/>
      <c r="B12" s="38" t="s">
        <v>40</v>
      </c>
      <c r="C12" s="2"/>
      <c r="D12" s="2"/>
      <c r="E12" s="41">
        <f>SUM(B8)</f>
        <v>222</v>
      </c>
    </row>
  </sheetData>
  <conditionalFormatting sqref="B4:B8 E5:E8 B10:B12 E10:E12">
    <cfRule type="cellIs" dxfId="1" priority="1" stopIfTrue="1" operator="lessThan">
      <formula>0</formula>
    </cfRule>
  </conditionalFormatting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showGridLines="0" workbookViewId="0"/>
  </sheetViews>
  <sheetFormatPr defaultColWidth="10.625" defaultRowHeight="15.95" customHeight="1"/>
  <cols>
    <col min="1" max="1" width="48.375" style="1" customWidth="1"/>
    <col min="2" max="2" width="10.875" style="1" customWidth="1"/>
    <col min="3" max="3" width="27" style="1" customWidth="1"/>
    <col min="4" max="4" width="10.875" style="1" customWidth="1"/>
    <col min="5" max="5" width="10.625" style="1" customWidth="1"/>
    <col min="6" max="256" width="10.625" customWidth="1"/>
  </cols>
  <sheetData>
    <row r="1" spans="1:5" ht="21" customHeight="1">
      <c r="A1" s="43" t="s">
        <v>41</v>
      </c>
      <c r="B1" s="3"/>
      <c r="C1" s="2"/>
      <c r="D1" s="3"/>
      <c r="E1" s="2"/>
    </row>
    <row r="2" spans="1:5" ht="15.95" customHeight="1">
      <c r="A2" s="2"/>
      <c r="B2" s="3"/>
      <c r="C2" s="2"/>
      <c r="D2" s="3"/>
      <c r="E2" s="2"/>
    </row>
    <row r="3" spans="1:5" ht="15.95" customHeight="1">
      <c r="A3" s="44" t="s">
        <v>42</v>
      </c>
      <c r="B3" s="38" t="s">
        <v>0</v>
      </c>
      <c r="C3" s="37" t="s">
        <v>43</v>
      </c>
      <c r="D3" s="38" t="s">
        <v>44</v>
      </c>
      <c r="E3" s="2"/>
    </row>
    <row r="4" spans="1:5" ht="15.95" customHeight="1">
      <c r="A4" s="37" t="s">
        <v>45</v>
      </c>
      <c r="B4" s="39">
        <v>350</v>
      </c>
      <c r="C4" s="40">
        <v>1</v>
      </c>
      <c r="D4" s="39">
        <f>SUM(B4*C4)</f>
        <v>350</v>
      </c>
      <c r="E4" s="2"/>
    </row>
    <row r="5" spans="1:5" ht="15.95" customHeight="1">
      <c r="A5" s="37" t="s">
        <v>46</v>
      </c>
      <c r="B5" s="39">
        <v>40</v>
      </c>
      <c r="C5" s="40">
        <v>1</v>
      </c>
      <c r="D5" s="39">
        <f>SUM(B5*C5)</f>
        <v>40</v>
      </c>
      <c r="E5" s="2"/>
    </row>
    <row r="6" spans="1:5" ht="15.95" customHeight="1">
      <c r="A6" s="37" t="s">
        <v>47</v>
      </c>
      <c r="B6" s="39">
        <v>80</v>
      </c>
      <c r="C6" s="40">
        <v>1</v>
      </c>
      <c r="D6" s="39">
        <f>SUM(B6*C6)</f>
        <v>80</v>
      </c>
      <c r="E6" s="2"/>
    </row>
    <row r="7" spans="1:5" ht="15.95" customHeight="1">
      <c r="A7" s="37" t="s">
        <v>48</v>
      </c>
      <c r="B7" s="39">
        <v>50</v>
      </c>
      <c r="C7" s="40">
        <v>45</v>
      </c>
      <c r="D7" s="39">
        <f>SUM(B7*C7)</f>
        <v>2250</v>
      </c>
      <c r="E7" s="2"/>
    </row>
    <row r="8" spans="1:5" ht="15.95" customHeight="1">
      <c r="A8" s="2"/>
      <c r="B8" s="3"/>
      <c r="C8" s="2"/>
      <c r="D8" s="3"/>
      <c r="E8" s="2"/>
    </row>
    <row r="9" spans="1:5" ht="15.95" customHeight="1">
      <c r="A9" s="44" t="s">
        <v>4</v>
      </c>
      <c r="B9" s="3"/>
      <c r="C9" s="2"/>
      <c r="D9" s="3"/>
      <c r="E9" s="2"/>
    </row>
    <row r="10" spans="1:5" ht="15.95" customHeight="1">
      <c r="A10" s="37" t="s">
        <v>49</v>
      </c>
      <c r="B10" s="39">
        <v>35</v>
      </c>
      <c r="C10" s="40">
        <v>45</v>
      </c>
      <c r="D10" s="39">
        <f>SUM(B10*C10)</f>
        <v>1575</v>
      </c>
      <c r="E10" s="2"/>
    </row>
    <row r="11" spans="1:5" ht="15.95" customHeight="1">
      <c r="A11" s="37" t="s">
        <v>50</v>
      </c>
      <c r="B11" s="39">
        <v>150</v>
      </c>
      <c r="C11" s="40">
        <v>1</v>
      </c>
      <c r="D11" s="39">
        <f>SUM(B11*C11)</f>
        <v>150</v>
      </c>
      <c r="E11" s="2"/>
    </row>
    <row r="12" spans="1:5" ht="15.95" customHeight="1">
      <c r="A12" s="37" t="s">
        <v>51</v>
      </c>
      <c r="B12" s="39">
        <v>20</v>
      </c>
      <c r="C12" s="40">
        <v>45</v>
      </c>
      <c r="D12" s="39">
        <f>SUM(B12*C12)</f>
        <v>900</v>
      </c>
      <c r="E12" s="2"/>
    </row>
    <row r="13" spans="1:5" ht="15.95" customHeight="1">
      <c r="A13" s="2"/>
      <c r="B13" s="3"/>
      <c r="C13" s="2"/>
      <c r="D13" s="3"/>
      <c r="E13" s="2"/>
    </row>
    <row r="14" spans="1:5" ht="15.95" customHeight="1">
      <c r="A14" s="44" t="s">
        <v>19</v>
      </c>
      <c r="B14" s="3"/>
      <c r="C14" s="45"/>
      <c r="D14" s="46"/>
      <c r="E14" s="2"/>
    </row>
    <row r="15" spans="1:5" ht="15.95" customHeight="1">
      <c r="A15" s="37" t="s">
        <v>52</v>
      </c>
      <c r="B15" s="39">
        <v>3000</v>
      </c>
      <c r="C15" s="40">
        <v>1</v>
      </c>
      <c r="D15" s="39">
        <f>SUM(B15*C15)</f>
        <v>3000</v>
      </c>
      <c r="E15" s="2"/>
    </row>
    <row r="16" spans="1:5" ht="15.95" customHeight="1">
      <c r="A16" s="37" t="s">
        <v>53</v>
      </c>
      <c r="B16" s="39">
        <v>200</v>
      </c>
      <c r="C16" s="40">
        <v>45</v>
      </c>
      <c r="D16" s="39">
        <f>SUM(B16*C16)</f>
        <v>9000</v>
      </c>
      <c r="E16" s="2"/>
    </row>
    <row r="17" spans="1:5" ht="15.95" customHeight="1">
      <c r="A17" s="37" t="s">
        <v>54</v>
      </c>
      <c r="B17" s="39">
        <v>120</v>
      </c>
      <c r="C17" s="40">
        <v>1</v>
      </c>
      <c r="D17" s="39">
        <f>SUM(B17*C17)</f>
        <v>120</v>
      </c>
      <c r="E17" s="2"/>
    </row>
    <row r="18" spans="1:5" ht="15.95" customHeight="1">
      <c r="A18" s="2"/>
      <c r="B18" s="3"/>
      <c r="C18" s="2"/>
      <c r="D18" s="3"/>
      <c r="E18" s="2"/>
    </row>
    <row r="19" spans="1:5" ht="15.95" customHeight="1">
      <c r="A19" s="2"/>
      <c r="B19" s="3"/>
      <c r="C19" s="37" t="s">
        <v>33</v>
      </c>
      <c r="D19" s="39">
        <f>SUM(D4:D12)</f>
        <v>5345</v>
      </c>
      <c r="E19" s="2"/>
    </row>
    <row r="20" spans="1:5" ht="15.95" customHeight="1">
      <c r="A20" s="2"/>
      <c r="B20" s="3"/>
      <c r="C20" s="37" t="s">
        <v>55</v>
      </c>
      <c r="D20" s="39">
        <f>SUM(D15:D17)</f>
        <v>12120</v>
      </c>
      <c r="E20" s="2"/>
    </row>
    <row r="21" spans="1:5" ht="15.95" customHeight="1">
      <c r="A21" s="2"/>
      <c r="B21" s="3"/>
      <c r="C21" s="2"/>
      <c r="D21" s="3"/>
      <c r="E21" s="2"/>
    </row>
    <row r="22" spans="1:5" ht="15.95" customHeight="1">
      <c r="A22" s="2"/>
      <c r="B22" s="3"/>
      <c r="C22" s="37" t="s">
        <v>20</v>
      </c>
      <c r="D22" s="39">
        <f>SUM(D19*12)+D20</f>
        <v>76260</v>
      </c>
      <c r="E22" s="2"/>
    </row>
    <row r="23" spans="1:5" ht="15.95" customHeight="1">
      <c r="A23" s="2"/>
      <c r="B23" s="3"/>
      <c r="C23" s="2"/>
      <c r="D23" s="3"/>
      <c r="E23" s="2"/>
    </row>
    <row r="24" spans="1:5" ht="15.95" customHeight="1">
      <c r="A24" s="2"/>
      <c r="B24" s="3"/>
      <c r="C24" s="37" t="s">
        <v>26</v>
      </c>
      <c r="D24" s="39">
        <f>SUM(D19*12)</f>
        <v>64140</v>
      </c>
      <c r="E24" s="2"/>
    </row>
    <row r="25" spans="1:5" ht="15.95" customHeight="1">
      <c r="A25" s="2"/>
      <c r="B25" s="3"/>
      <c r="C25" s="2"/>
      <c r="D25" s="3"/>
      <c r="E25" s="2"/>
    </row>
    <row r="26" spans="1:5" ht="15.95" customHeight="1">
      <c r="A26" s="2"/>
      <c r="B26" s="3"/>
      <c r="C26" s="37" t="s">
        <v>56</v>
      </c>
      <c r="D26" s="39">
        <f>SUM(D10:D12)/45</f>
        <v>58.333333333333336</v>
      </c>
      <c r="E26" s="2"/>
    </row>
    <row r="27" spans="1:5" ht="15.95" customHeight="1">
      <c r="A27" s="2"/>
      <c r="B27" s="3"/>
      <c r="C27" s="37" t="s">
        <v>57</v>
      </c>
      <c r="D27" s="39">
        <f>SUM(D4:D7)</f>
        <v>2720</v>
      </c>
      <c r="E27" s="2"/>
    </row>
  </sheetData>
  <conditionalFormatting sqref="B3:B7 D3:D7 B10:B12 D10:D12 D14:D17 B15:B17 D19:D20 D22 D24 D26:D27">
    <cfRule type="cellIs" dxfId="0" priority="1" stopIfTrue="1" operator="lessThan">
      <formula>0</formula>
    </cfRule>
  </conditionalFormatting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Current Breakdown</vt:lpstr>
      <vt:lpstr>Archway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Slade</cp:lastModifiedBy>
  <dcterms:modified xsi:type="dcterms:W3CDTF">2025-03-27T03:50:07Z</dcterms:modified>
</cp:coreProperties>
</file>