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My Drive\Matt Slade – AI Knowledge Base\_Inbox - To Organize\"/>
    </mc:Choice>
  </mc:AlternateContent>
  <xr:revisionPtr revIDLastSave="0" documentId="13_ncr:1_{1332828C-DA74-4550-9FDF-C4C527E85DDA}" xr6:coauthVersionLast="47" xr6:coauthVersionMax="47" xr10:uidLastSave="{00000000-0000-0000-0000-000000000000}"/>
  <bookViews>
    <workbookView xWindow="1395" yWindow="750" windowWidth="26610" windowHeight="14580" tabRatio="500" xr2:uid="{00000000-000D-0000-FFFF-FFFF00000000}"/>
  </bookViews>
  <sheets>
    <sheet name="Comparison" sheetId="1" r:id="rId1"/>
    <sheet name="Current Breakdown" sheetId="2" r:id="rId2"/>
    <sheet name="Archway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11" i="3"/>
  <c r="D12" i="3"/>
  <c r="D26" i="3"/>
  <c r="L8" i="1"/>
  <c r="N8" i="1"/>
  <c r="L9" i="1"/>
  <c r="N9" i="1"/>
  <c r="L10" i="1"/>
  <c r="N10" i="1"/>
  <c r="N11" i="1"/>
  <c r="N12" i="1"/>
  <c r="N13" i="1"/>
  <c r="N15" i="1"/>
  <c r="N20" i="1"/>
  <c r="N28" i="1"/>
  <c r="D8" i="1"/>
  <c r="D9" i="1"/>
  <c r="B10" i="1"/>
  <c r="D10" i="1"/>
  <c r="D11" i="1"/>
  <c r="D12" i="1"/>
  <c r="D15" i="1"/>
  <c r="D16" i="1"/>
  <c r="D17" i="1"/>
  <c r="D20" i="1"/>
  <c r="D28" i="1"/>
  <c r="D15" i="3"/>
  <c r="D16" i="3"/>
  <c r="D17" i="3"/>
  <c r="D20" i="3"/>
  <c r="N21" i="1"/>
  <c r="D4" i="3"/>
  <c r="D5" i="3"/>
  <c r="D6" i="3"/>
  <c r="D7" i="3"/>
  <c r="D27" i="3"/>
  <c r="D19" i="3"/>
  <c r="D24" i="3"/>
  <c r="D22" i="3"/>
  <c r="N24" i="1"/>
  <c r="N26" i="1"/>
  <c r="E10" i="2"/>
  <c r="E11" i="2"/>
  <c r="G8" i="1"/>
  <c r="I8" i="1"/>
  <c r="B8" i="2"/>
  <c r="G9" i="1"/>
  <c r="I9" i="1"/>
  <c r="I10" i="1"/>
  <c r="I13" i="1"/>
  <c r="I15" i="1"/>
  <c r="I20" i="1"/>
  <c r="I24" i="1"/>
  <c r="I26" i="1"/>
  <c r="I28" i="1"/>
  <c r="E5" i="2"/>
  <c r="E6" i="2"/>
  <c r="E7" i="2"/>
  <c r="E12" i="2"/>
  <c r="E8" i="2"/>
  <c r="D25" i="1"/>
  <c r="D24" i="1"/>
  <c r="D26" i="1"/>
</calcChain>
</file>

<file path=xl/sharedStrings.xml><?xml version="1.0" encoding="utf-8"?>
<sst xmlns="http://schemas.openxmlformats.org/spreadsheetml/2006/main" count="99" uniqueCount="59">
  <si>
    <t>Price Per User</t>
  </si>
  <si>
    <t>Hosted Server</t>
  </si>
  <si>
    <t>Cost</t>
  </si>
  <si>
    <t>Totals</t>
  </si>
  <si>
    <t>PIA Discount</t>
  </si>
  <si>
    <t>PIA Discount Users</t>
  </si>
  <si>
    <t>PIA Discount Server</t>
  </si>
  <si>
    <t>Monthly Total</t>
  </si>
  <si>
    <t>Setup</t>
  </si>
  <si>
    <t>Yearly</t>
  </si>
  <si>
    <t>Year 2 Total</t>
  </si>
  <si>
    <t>Virsage</t>
  </si>
  <si>
    <t>Current Solution</t>
  </si>
  <si>
    <t>Quantity</t>
  </si>
  <si>
    <t>Current Solution Breakdown</t>
  </si>
  <si>
    <t>Paperwise</t>
  </si>
  <si>
    <t>Monthly</t>
  </si>
  <si>
    <t>Anti-Virus</t>
  </si>
  <si>
    <t>Price Per User (not including server)</t>
  </si>
  <si>
    <t>Price Per Month for server</t>
  </si>
  <si>
    <t>Price Per User Per Month</t>
  </si>
  <si>
    <t>Server Cost</t>
  </si>
  <si>
    <t>Total Monthly Per User</t>
  </si>
  <si>
    <t>Onsite Technical Work</t>
  </si>
  <si>
    <t>Implementation</t>
  </si>
  <si>
    <t>Year 1</t>
  </si>
  <si>
    <t>Year 1 After Discounts</t>
  </si>
  <si>
    <t>Year 2</t>
  </si>
  <si>
    <t>Computers (predicting 5 a year including Office averaged monthly @ $320)</t>
  </si>
  <si>
    <t>Computers (predicting 5 a year including Office averaged monthly @ $1,320)</t>
  </si>
  <si>
    <t>Internal troubleshooting PC assistance is required, I.E. Rich/Zoe/Individual</t>
  </si>
  <si>
    <t>Archway Breakdown for Amazon Web Services (AWS)</t>
  </si>
  <si>
    <t>Units</t>
  </si>
  <si>
    <t>Total</t>
  </si>
  <si>
    <t>Amazon</t>
  </si>
  <si>
    <t>Archway</t>
  </si>
  <si>
    <t>DaaS Management RDS</t>
  </si>
  <si>
    <t>Server Management (Virtual)</t>
  </si>
  <si>
    <t>Office</t>
  </si>
  <si>
    <t>Office 365</t>
  </si>
  <si>
    <t>Office 365 Migration</t>
  </si>
  <si>
    <t>Total year 1</t>
  </si>
  <si>
    <t>Workstation Management</t>
  </si>
  <si>
    <t>AWS Storage 2x vCPU 8 GB Ram 1TB</t>
  </si>
  <si>
    <t>AWS 1TB Backup Server</t>
  </si>
  <si>
    <t>AWS Private Cloud NAT Gateway 1TB limit traffic</t>
  </si>
  <si>
    <t>AWS Configure Cloud Environment</t>
  </si>
  <si>
    <t>Migration to Virtual</t>
  </si>
  <si>
    <t>Backup Software Integration</t>
  </si>
  <si>
    <t>Initial Setup</t>
  </si>
  <si>
    <t>Average Price per User</t>
  </si>
  <si>
    <t>Archway has onsite contractors that bill $90.00 an hour.  They estimate $2000 a year</t>
  </si>
  <si>
    <t>Projects Bid</t>
  </si>
  <si>
    <t>One call to handle issues to one vendor, Projects Bid</t>
  </si>
  <si>
    <t>Up to 20 hours a month onsite service included</t>
  </si>
  <si>
    <t>24 Hour Disaster (Business Interruption)</t>
  </si>
  <si>
    <t>Server Expense, estimating 3 year @$8,000)</t>
  </si>
  <si>
    <t>AWS Standard vCPU 4gb mem, 50GB with Office 2013</t>
  </si>
  <si>
    <t>Monthly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</si>
</sst>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164" fontId="2" fillId="3" borderId="1" xfId="0" applyNumberFormat="1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4" borderId="1" xfId="0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vertical="top" wrapText="1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4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4</xdr:col>
      <xdr:colOff>25400</xdr:colOff>
      <xdr:row>4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47900" y="114300"/>
          <a:ext cx="30099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Transition</a:t>
          </a:r>
          <a:r>
            <a:rPr lang="en-US" sz="1800" baseline="0"/>
            <a:t> Comparison</a:t>
          </a:r>
        </a:p>
        <a:p>
          <a:pPr algn="ctr"/>
          <a:r>
            <a:rPr lang="en-US" sz="1800" baseline="0"/>
            <a:t>Cloud Soluton VS Traditional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N31"/>
  <sheetViews>
    <sheetView tabSelected="1" zoomScale="90" zoomScaleNormal="90" zoomScalePageLayoutView="90" workbookViewId="0">
      <selection activeCell="B13" sqref="B13"/>
    </sheetView>
  </sheetViews>
  <sheetFormatPr defaultColWidth="11" defaultRowHeight="15.75"/>
  <cols>
    <col min="1" max="1" width="28" customWidth="1"/>
    <col min="2" max="2" width="10.875" style="1"/>
    <col min="3" max="3" width="19" bestFit="1" customWidth="1"/>
    <col min="4" max="4" width="10.875" style="1"/>
    <col min="6" max="6" width="22.875" customWidth="1"/>
    <col min="7" max="7" width="10.875" style="1"/>
    <col min="8" max="8" width="18.875" customWidth="1"/>
    <col min="9" max="9" width="10.875" style="1"/>
    <col min="11" max="11" width="35" customWidth="1"/>
    <col min="12" max="12" width="10.125" bestFit="1" customWidth="1"/>
    <col min="13" max="13" width="19.125" bestFit="1" customWidth="1"/>
  </cols>
  <sheetData>
    <row r="6" spans="1:14" ht="20.25">
      <c r="A6" s="10" t="s">
        <v>11</v>
      </c>
      <c r="B6" s="7" t="s">
        <v>2</v>
      </c>
      <c r="C6" s="6" t="s">
        <v>13</v>
      </c>
      <c r="D6" s="7" t="s">
        <v>3</v>
      </c>
      <c r="F6" s="9" t="s">
        <v>12</v>
      </c>
      <c r="G6" s="3" t="s">
        <v>2</v>
      </c>
      <c r="H6" s="3" t="s">
        <v>13</v>
      </c>
      <c r="I6" s="3" t="s">
        <v>3</v>
      </c>
      <c r="K6" s="21" t="s">
        <v>35</v>
      </c>
      <c r="L6" s="22" t="s">
        <v>2</v>
      </c>
      <c r="M6" s="23" t="s">
        <v>13</v>
      </c>
      <c r="N6" s="22" t="s">
        <v>3</v>
      </c>
    </row>
    <row r="7" spans="1:14">
      <c r="A7" s="6"/>
      <c r="B7" s="7"/>
      <c r="C7" s="6"/>
      <c r="D7" s="7"/>
      <c r="F7" s="4"/>
      <c r="G7" s="3"/>
      <c r="H7" s="4"/>
      <c r="I7" s="3"/>
      <c r="K7" s="23"/>
      <c r="L7" s="22"/>
      <c r="M7" s="23"/>
      <c r="N7" s="22"/>
    </row>
    <row r="8" spans="1:14">
      <c r="A8" s="6" t="s">
        <v>0</v>
      </c>
      <c r="B8" s="7">
        <v>104.99</v>
      </c>
      <c r="C8" s="6">
        <v>45</v>
      </c>
      <c r="D8" s="7">
        <f>SUM(B8*C8)</f>
        <v>4724.55</v>
      </c>
      <c r="F8" s="4" t="s">
        <v>20</v>
      </c>
      <c r="G8" s="3">
        <f>SUM('Current Breakdown'!E11)</f>
        <v>111.17777777777778</v>
      </c>
      <c r="H8" s="4">
        <v>45</v>
      </c>
      <c r="I8" s="3">
        <f>SUM(G8*H8)</f>
        <v>5003</v>
      </c>
      <c r="K8" s="23" t="s">
        <v>0</v>
      </c>
      <c r="L8" s="22">
        <f>SUM(Archway!D26)</f>
        <v>58.333333333333336</v>
      </c>
      <c r="M8" s="23">
        <v>45</v>
      </c>
      <c r="N8" s="22">
        <f>SUM(L8*M8)</f>
        <v>2625</v>
      </c>
    </row>
    <row r="9" spans="1:14">
      <c r="A9" s="6" t="s">
        <v>1</v>
      </c>
      <c r="B9" s="7">
        <v>350</v>
      </c>
      <c r="C9" s="6">
        <v>1</v>
      </c>
      <c r="D9" s="7">
        <f>SUM(B9*C9)</f>
        <v>350</v>
      </c>
      <c r="F9" s="4" t="s">
        <v>21</v>
      </c>
      <c r="G9" s="3">
        <f>SUM('Current Breakdown'!B8)</f>
        <v>222.22222222222223</v>
      </c>
      <c r="H9" s="4">
        <v>1</v>
      </c>
      <c r="I9" s="3">
        <f>SUM(G9*H9)</f>
        <v>222.22222222222223</v>
      </c>
      <c r="K9" s="23" t="s">
        <v>1</v>
      </c>
      <c r="L9" s="22">
        <f>SUM(Archway!D10:D12)</f>
        <v>2625</v>
      </c>
      <c r="M9" s="23">
        <v>1</v>
      </c>
      <c r="N9" s="22">
        <f>SUM(L9*M9)</f>
        <v>2625</v>
      </c>
    </row>
    <row r="10" spans="1:14" s="16" customFormat="1" ht="63">
      <c r="A10" s="19" t="s">
        <v>28</v>
      </c>
      <c r="B10" s="14">
        <f>SUM(320*5)/12</f>
        <v>133.33333333333334</v>
      </c>
      <c r="C10" s="15">
        <v>1</v>
      </c>
      <c r="D10" s="14">
        <f>SUM(B10*C10)</f>
        <v>133.33333333333334</v>
      </c>
      <c r="F10" s="20" t="s">
        <v>29</v>
      </c>
      <c r="G10" s="17">
        <v>550</v>
      </c>
      <c r="H10" s="18">
        <v>1</v>
      </c>
      <c r="I10" s="17">
        <f>SUM(G10*H10)</f>
        <v>550</v>
      </c>
      <c r="K10" s="24" t="s">
        <v>28</v>
      </c>
      <c r="L10" s="25">
        <f>SUM(320*5)/12</f>
        <v>133.33333333333334</v>
      </c>
      <c r="M10" s="26">
        <v>1</v>
      </c>
      <c r="N10" s="25">
        <f>SUM(L10*M10)</f>
        <v>133.33333333333334</v>
      </c>
    </row>
    <row r="11" spans="1:14">
      <c r="A11" s="8" t="s">
        <v>23</v>
      </c>
      <c r="B11" s="7">
        <v>500</v>
      </c>
      <c r="C11" s="6">
        <v>1</v>
      </c>
      <c r="D11" s="7">
        <f>SUM(B11)</f>
        <v>500</v>
      </c>
      <c r="F11" s="5" t="s">
        <v>23</v>
      </c>
      <c r="G11" s="3">
        <v>0</v>
      </c>
      <c r="H11" s="4">
        <v>0</v>
      </c>
      <c r="I11" s="3">
        <v>0</v>
      </c>
      <c r="K11" s="27" t="s">
        <v>23</v>
      </c>
      <c r="L11" s="22">
        <v>200</v>
      </c>
      <c r="M11" s="23">
        <v>1</v>
      </c>
      <c r="N11" s="22">
        <f>SUM(L11)</f>
        <v>200</v>
      </c>
    </row>
    <row r="12" spans="1:14">
      <c r="A12" s="6" t="s">
        <v>24</v>
      </c>
      <c r="B12" s="7">
        <v>14000</v>
      </c>
      <c r="C12" s="6">
        <v>1</v>
      </c>
      <c r="D12" s="7">
        <f>SUM(B12/12)</f>
        <v>1166.6666666666667</v>
      </c>
      <c r="F12" s="4" t="s">
        <v>24</v>
      </c>
      <c r="G12" s="3">
        <v>0</v>
      </c>
      <c r="H12" s="4">
        <v>0</v>
      </c>
      <c r="I12" s="3">
        <v>0</v>
      </c>
      <c r="K12" s="23" t="s">
        <v>24</v>
      </c>
      <c r="L12" s="22">
        <v>5000</v>
      </c>
      <c r="M12" s="23">
        <v>1</v>
      </c>
      <c r="N12" s="22">
        <f>SUM(L12/12)</f>
        <v>416.66666666666669</v>
      </c>
    </row>
    <row r="13" spans="1:14">
      <c r="A13" s="6" t="s">
        <v>38</v>
      </c>
      <c r="B13" s="7">
        <v>0</v>
      </c>
      <c r="C13" s="6">
        <v>0</v>
      </c>
      <c r="D13" s="7">
        <v>0</v>
      </c>
      <c r="F13" s="4" t="s">
        <v>39</v>
      </c>
      <c r="G13" s="3">
        <v>8.25</v>
      </c>
      <c r="H13" s="4">
        <v>45</v>
      </c>
      <c r="I13" s="3">
        <f>SUM(G13*H13)</f>
        <v>371.25</v>
      </c>
      <c r="K13" s="23" t="s">
        <v>38</v>
      </c>
      <c r="L13" s="22">
        <v>8.25</v>
      </c>
      <c r="M13" s="23">
        <v>45</v>
      </c>
      <c r="N13" s="22">
        <f>SUM(L13*M13)</f>
        <v>371.25</v>
      </c>
    </row>
    <row r="14" spans="1:14">
      <c r="A14" s="6"/>
      <c r="B14" s="7"/>
      <c r="C14" s="6"/>
      <c r="D14" s="7"/>
      <c r="F14" s="4"/>
      <c r="G14" s="3"/>
      <c r="H14" s="4"/>
      <c r="I14" s="3"/>
      <c r="K14" s="23"/>
      <c r="L14" s="22"/>
      <c r="M14" s="23"/>
      <c r="N14" s="22"/>
    </row>
    <row r="15" spans="1:14">
      <c r="A15" s="6"/>
      <c r="B15" s="7"/>
      <c r="C15" s="6" t="s">
        <v>3</v>
      </c>
      <c r="D15" s="7">
        <f>SUM(D8:D13)</f>
        <v>6874.55</v>
      </c>
      <c r="F15" s="4"/>
      <c r="G15" s="3"/>
      <c r="H15" s="3" t="s">
        <v>3</v>
      </c>
      <c r="I15" s="3">
        <f>SUM(I8:I13)</f>
        <v>6146.4722222222226</v>
      </c>
      <c r="K15" s="23"/>
      <c r="L15" s="22"/>
      <c r="M15" s="23" t="s">
        <v>3</v>
      </c>
      <c r="N15" s="22">
        <f>SUM(N8:N13)</f>
        <v>6371.25</v>
      </c>
    </row>
    <row r="16" spans="1:14">
      <c r="A16" s="6"/>
      <c r="B16" s="7"/>
      <c r="C16" s="6" t="s">
        <v>5</v>
      </c>
      <c r="D16" s="7">
        <f>SUM(C8*10)*-1</f>
        <v>-450</v>
      </c>
      <c r="F16" s="4"/>
      <c r="G16" s="3"/>
      <c r="H16" s="4" t="s">
        <v>5</v>
      </c>
      <c r="I16" s="3">
        <v>0</v>
      </c>
      <c r="K16" s="23"/>
      <c r="L16" s="22"/>
      <c r="M16" s="23" t="s">
        <v>5</v>
      </c>
      <c r="N16" s="22">
        <v>0</v>
      </c>
    </row>
    <row r="17" spans="1:14">
      <c r="A17" s="6"/>
      <c r="B17" s="7"/>
      <c r="C17" s="6" t="s">
        <v>6</v>
      </c>
      <c r="D17" s="7">
        <f>SUM(C9*35)*-1</f>
        <v>-35</v>
      </c>
      <c r="F17" s="4"/>
      <c r="G17" s="3"/>
      <c r="H17" s="4" t="s">
        <v>6</v>
      </c>
      <c r="I17" s="3">
        <v>0</v>
      </c>
      <c r="K17" s="23"/>
      <c r="L17" s="22"/>
      <c r="M17" s="23" t="s">
        <v>6</v>
      </c>
      <c r="N17" s="22">
        <v>0</v>
      </c>
    </row>
    <row r="18" spans="1:14">
      <c r="A18" s="6"/>
      <c r="B18" s="7"/>
      <c r="C18" s="6" t="s">
        <v>40</v>
      </c>
      <c r="D18" s="7">
        <v>0</v>
      </c>
      <c r="F18" s="4"/>
      <c r="G18" s="3"/>
      <c r="H18" s="4"/>
      <c r="I18" s="3"/>
      <c r="K18" s="23"/>
      <c r="L18" s="22"/>
      <c r="M18" s="23" t="s">
        <v>40</v>
      </c>
      <c r="N18" s="22">
        <v>0</v>
      </c>
    </row>
    <row r="19" spans="1:14">
      <c r="A19" s="6"/>
      <c r="B19" s="7"/>
      <c r="C19" s="6"/>
      <c r="D19" s="7"/>
      <c r="F19" s="4"/>
      <c r="G19" s="3"/>
      <c r="H19" s="4"/>
      <c r="I19" s="3"/>
      <c r="K19" s="23"/>
      <c r="L19" s="22"/>
      <c r="M19" s="23"/>
      <c r="N19" s="22"/>
    </row>
    <row r="20" spans="1:14">
      <c r="A20" s="6"/>
      <c r="B20" s="7"/>
      <c r="C20" s="6" t="s">
        <v>7</v>
      </c>
      <c r="D20" s="7">
        <f>SUM(D15:D17)</f>
        <v>6389.55</v>
      </c>
      <c r="F20" s="4"/>
      <c r="G20" s="3"/>
      <c r="H20" s="4" t="s">
        <v>7</v>
      </c>
      <c r="I20" s="3">
        <f>SUM(I15:I17)</f>
        <v>6146.4722222222226</v>
      </c>
      <c r="K20" s="23"/>
      <c r="L20" s="22"/>
      <c r="M20" s="23" t="s">
        <v>7</v>
      </c>
      <c r="N20" s="22">
        <f>SUM(N15:N17)</f>
        <v>6371.25</v>
      </c>
    </row>
    <row r="21" spans="1:14">
      <c r="A21" s="6"/>
      <c r="B21" s="7"/>
      <c r="C21" s="6" t="s">
        <v>8</v>
      </c>
      <c r="D21" s="7">
        <v>4793</v>
      </c>
      <c r="F21" s="4"/>
      <c r="G21" s="3"/>
      <c r="H21" s="4" t="s">
        <v>8</v>
      </c>
      <c r="I21" s="3">
        <v>0</v>
      </c>
      <c r="K21" s="23"/>
      <c r="L21" s="22"/>
      <c r="M21" s="23" t="s">
        <v>8</v>
      </c>
      <c r="N21" s="22">
        <f>SUM(Archway!D20)</f>
        <v>12120</v>
      </c>
    </row>
    <row r="22" spans="1:14">
      <c r="A22" s="6"/>
      <c r="B22" s="7"/>
      <c r="C22" s="7"/>
      <c r="D22" s="7"/>
      <c r="F22" s="4"/>
      <c r="G22" s="3"/>
      <c r="H22" s="4"/>
      <c r="I22" s="3"/>
      <c r="K22" s="23"/>
      <c r="L22" s="22"/>
      <c r="M22" s="22"/>
      <c r="N22" s="22"/>
    </row>
    <row r="23" spans="1:14">
      <c r="A23" s="6"/>
      <c r="B23" s="7"/>
      <c r="C23" s="7"/>
      <c r="D23" s="7"/>
      <c r="F23" s="4"/>
      <c r="G23" s="3"/>
      <c r="H23" s="4"/>
      <c r="I23" s="3"/>
      <c r="K23" s="23"/>
      <c r="L23" s="22"/>
      <c r="M23" s="22"/>
      <c r="N23" s="22"/>
    </row>
    <row r="24" spans="1:14">
      <c r="A24" s="6"/>
      <c r="B24" s="7"/>
      <c r="C24" s="6" t="s">
        <v>25</v>
      </c>
      <c r="D24" s="7">
        <f>SUM(D15*12)+D15</f>
        <v>89369.150000000009</v>
      </c>
      <c r="F24" s="4"/>
      <c r="G24" s="3"/>
      <c r="H24" s="4" t="s">
        <v>9</v>
      </c>
      <c r="I24" s="3">
        <f>SUM(I20*12)</f>
        <v>73757.666666666672</v>
      </c>
      <c r="K24" s="23"/>
      <c r="L24" s="22"/>
      <c r="M24" s="23" t="s">
        <v>25</v>
      </c>
      <c r="N24" s="22">
        <f>SUM(N15*12)+N15</f>
        <v>82826.25</v>
      </c>
    </row>
    <row r="25" spans="1:14">
      <c r="A25" s="6"/>
      <c r="B25" s="7"/>
      <c r="C25" s="6" t="s">
        <v>4</v>
      </c>
      <c r="D25" s="7">
        <f>SUM(D16:D17)*12-(D15-D20)</f>
        <v>-6305</v>
      </c>
      <c r="F25" s="4"/>
      <c r="G25" s="3"/>
      <c r="H25" s="4" t="s">
        <v>40</v>
      </c>
      <c r="I25" s="3">
        <v>2500</v>
      </c>
      <c r="K25" s="23"/>
      <c r="L25" s="22"/>
      <c r="M25" s="23" t="s">
        <v>4</v>
      </c>
      <c r="N25" s="22">
        <v>0</v>
      </c>
    </row>
    <row r="26" spans="1:14">
      <c r="A26" s="6"/>
      <c r="B26" s="7"/>
      <c r="C26" s="7" t="s">
        <v>26</v>
      </c>
      <c r="D26" s="7">
        <f>SUM(D24+D25)</f>
        <v>83064.150000000009</v>
      </c>
      <c r="F26" s="4"/>
      <c r="G26" s="3"/>
      <c r="H26" s="4" t="s">
        <v>41</v>
      </c>
      <c r="I26" s="3">
        <f>SUM(I24:I25)</f>
        <v>76257.666666666672</v>
      </c>
      <c r="K26" s="23"/>
      <c r="L26" s="22"/>
      <c r="M26" s="22" t="s">
        <v>26</v>
      </c>
      <c r="N26" s="22">
        <f>SUM(N24+N25)</f>
        <v>82826.25</v>
      </c>
    </row>
    <row r="27" spans="1:14">
      <c r="A27" s="6"/>
      <c r="B27" s="7"/>
      <c r="C27" s="6"/>
      <c r="D27" s="7"/>
      <c r="F27" s="4"/>
      <c r="G27" s="3"/>
      <c r="H27" s="4"/>
      <c r="I27" s="3"/>
      <c r="K27" s="23"/>
      <c r="L27" s="22"/>
      <c r="M27" s="23"/>
      <c r="N27" s="22"/>
    </row>
    <row r="28" spans="1:14">
      <c r="A28" s="6"/>
      <c r="B28" s="7"/>
      <c r="C28" s="6" t="s">
        <v>10</v>
      </c>
      <c r="D28" s="7">
        <f>SUM(D20*11)</f>
        <v>70285.05</v>
      </c>
      <c r="F28" s="4"/>
      <c r="G28" s="3"/>
      <c r="H28" s="4" t="s">
        <v>27</v>
      </c>
      <c r="I28" s="3">
        <f>SUM(I24)</f>
        <v>73757.666666666672</v>
      </c>
      <c r="K28" s="23"/>
      <c r="L28" s="22"/>
      <c r="M28" s="23" t="s">
        <v>10</v>
      </c>
      <c r="N28" s="22">
        <f>SUM(N20*11)</f>
        <v>70083.75</v>
      </c>
    </row>
    <row r="30" spans="1:14">
      <c r="A30" s="32" t="s">
        <v>53</v>
      </c>
      <c r="B30" s="33"/>
      <c r="C30" s="34"/>
      <c r="D30" s="35"/>
      <c r="F30" s="32" t="s">
        <v>30</v>
      </c>
      <c r="G30" s="33"/>
      <c r="H30" s="34"/>
      <c r="I30" s="35"/>
      <c r="K30" s="32" t="s">
        <v>51</v>
      </c>
      <c r="L30" s="34"/>
      <c r="M30" s="34"/>
      <c r="N30" s="36"/>
    </row>
    <row r="31" spans="1:14">
      <c r="A31" s="28" t="s">
        <v>54</v>
      </c>
      <c r="B31" s="29"/>
      <c r="C31" s="30"/>
      <c r="D31" s="31"/>
      <c r="F31" s="28" t="s">
        <v>52</v>
      </c>
      <c r="G31" s="29"/>
      <c r="H31" s="30"/>
      <c r="I31" s="31"/>
      <c r="K31" s="28" t="s">
        <v>52</v>
      </c>
      <c r="L31" s="30"/>
      <c r="M31" s="30"/>
      <c r="N31" s="37"/>
    </row>
  </sheetData>
  <phoneticPr fontId="1" type="noConversion"/>
  <pageMargins left="0.7" right="0.7" top="0.75" bottom="0.75" header="0.3" footer="0.3"/>
  <pageSetup scale="5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2"/>
  <sheetViews>
    <sheetView workbookViewId="0">
      <selection activeCell="B20" sqref="B20"/>
    </sheetView>
  </sheetViews>
  <sheetFormatPr defaultColWidth="11" defaultRowHeight="15.75"/>
  <cols>
    <col min="1" max="1" width="33" bestFit="1" customWidth="1"/>
    <col min="2" max="2" width="34.5" style="1" customWidth="1"/>
    <col min="3" max="3" width="12.125" customWidth="1"/>
    <col min="5" max="5" width="11.125" bestFit="1" customWidth="1"/>
  </cols>
  <sheetData>
    <row r="2" spans="1:5">
      <c r="A2" t="s">
        <v>14</v>
      </c>
    </row>
    <row r="4" spans="1:5">
      <c r="B4" s="1" t="s">
        <v>16</v>
      </c>
      <c r="C4" t="s">
        <v>13</v>
      </c>
      <c r="E4" t="s">
        <v>2</v>
      </c>
    </row>
    <row r="5" spans="1:5">
      <c r="A5" t="s">
        <v>15</v>
      </c>
      <c r="B5" s="1">
        <v>4500</v>
      </c>
      <c r="C5">
        <v>1</v>
      </c>
      <c r="E5" s="1">
        <f>SUM(B5*C5)*12</f>
        <v>54000</v>
      </c>
    </row>
    <row r="6" spans="1:5">
      <c r="A6" t="s">
        <v>55</v>
      </c>
      <c r="B6" s="1">
        <v>500</v>
      </c>
      <c r="C6">
        <v>1</v>
      </c>
      <c r="E6" s="1">
        <f>SUM(B6*C6)*12</f>
        <v>6000</v>
      </c>
    </row>
    <row r="7" spans="1:5">
      <c r="A7" t="s">
        <v>17</v>
      </c>
      <c r="B7" s="1">
        <v>3</v>
      </c>
      <c r="C7">
        <v>50</v>
      </c>
      <c r="E7" s="1">
        <f>SUM(B7*C7)*12</f>
        <v>1800</v>
      </c>
    </row>
    <row r="8" spans="1:5" ht="31.5">
      <c r="A8" s="2" t="s">
        <v>56</v>
      </c>
      <c r="B8" s="1">
        <f>SUM(8000/36)</f>
        <v>222.22222222222223</v>
      </c>
      <c r="C8">
        <v>12</v>
      </c>
      <c r="E8" s="1">
        <f>SUM(B8*C8)</f>
        <v>2666.666666666667</v>
      </c>
    </row>
    <row r="10" spans="1:5">
      <c r="B10" s="1" t="s">
        <v>22</v>
      </c>
      <c r="E10" s="1">
        <f>SUM(B5:B7)</f>
        <v>5003</v>
      </c>
    </row>
    <row r="11" spans="1:5">
      <c r="B11" s="1" t="s">
        <v>18</v>
      </c>
      <c r="E11" s="1">
        <f>SUM(E10/45)</f>
        <v>111.17777777777778</v>
      </c>
    </row>
    <row r="12" spans="1:5">
      <c r="B12" s="1" t="s">
        <v>19</v>
      </c>
      <c r="E12" s="1">
        <f>SUM(B8)</f>
        <v>222.22222222222223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C27" sqref="A1:XFD1048576"/>
    </sheetView>
  </sheetViews>
  <sheetFormatPr defaultColWidth="11" defaultRowHeight="15.75"/>
  <cols>
    <col min="1" max="1" width="48.375" customWidth="1"/>
    <col min="2" max="2" width="10.875" style="1"/>
    <col min="3" max="3" width="27" customWidth="1"/>
    <col min="4" max="4" width="10.875" style="1"/>
  </cols>
  <sheetData>
    <row r="1" spans="1:4" ht="20.25">
      <c r="A1" s="11" t="s">
        <v>31</v>
      </c>
    </row>
    <row r="3" spans="1:4">
      <c r="A3" s="12" t="s">
        <v>34</v>
      </c>
      <c r="B3" s="1" t="s">
        <v>2</v>
      </c>
      <c r="C3" t="s">
        <v>32</v>
      </c>
      <c r="D3" s="1" t="s">
        <v>33</v>
      </c>
    </row>
    <row r="4" spans="1:4">
      <c r="A4" t="s">
        <v>43</v>
      </c>
      <c r="B4" s="1">
        <v>350</v>
      </c>
      <c r="C4">
        <v>1</v>
      </c>
      <c r="D4" s="1">
        <f>SUM(B4*C4)</f>
        <v>350</v>
      </c>
    </row>
    <row r="5" spans="1:4">
      <c r="A5" t="s">
        <v>44</v>
      </c>
      <c r="B5" s="1">
        <v>40</v>
      </c>
      <c r="C5">
        <v>1</v>
      </c>
      <c r="D5" s="1">
        <f>SUM(B5*C5)</f>
        <v>40</v>
      </c>
    </row>
    <row r="6" spans="1:4">
      <c r="A6" t="s">
        <v>45</v>
      </c>
      <c r="B6" s="1">
        <v>80</v>
      </c>
      <c r="C6">
        <v>1</v>
      </c>
      <c r="D6" s="1">
        <f>SUM(B6*C6)</f>
        <v>80</v>
      </c>
    </row>
    <row r="7" spans="1:4">
      <c r="A7" t="s">
        <v>57</v>
      </c>
      <c r="B7" s="1">
        <v>50</v>
      </c>
      <c r="C7">
        <v>45</v>
      </c>
      <c r="D7" s="1">
        <f>SUM(B7*C7)</f>
        <v>2250</v>
      </c>
    </row>
    <row r="9" spans="1:4">
      <c r="A9" s="12" t="s">
        <v>35</v>
      </c>
    </row>
    <row r="10" spans="1:4">
      <c r="A10" t="s">
        <v>36</v>
      </c>
      <c r="B10" s="1">
        <v>35</v>
      </c>
      <c r="C10">
        <v>45</v>
      </c>
      <c r="D10" s="1">
        <f>SUM(B10*C10)</f>
        <v>1575</v>
      </c>
    </row>
    <row r="11" spans="1:4">
      <c r="A11" t="s">
        <v>37</v>
      </c>
      <c r="B11" s="1">
        <v>150</v>
      </c>
      <c r="C11">
        <v>1</v>
      </c>
      <c r="D11" s="1">
        <f>SUM(B11*C11)</f>
        <v>150</v>
      </c>
    </row>
    <row r="12" spans="1:4">
      <c r="A12" t="s">
        <v>42</v>
      </c>
      <c r="B12" s="1">
        <v>20</v>
      </c>
      <c r="C12">
        <v>45</v>
      </c>
      <c r="D12" s="1">
        <f>SUM(B12*C12)</f>
        <v>900</v>
      </c>
    </row>
    <row r="14" spans="1:4">
      <c r="A14" s="12" t="s">
        <v>8</v>
      </c>
      <c r="C14" s="12"/>
      <c r="D14" s="13"/>
    </row>
    <row r="15" spans="1:4">
      <c r="A15" t="s">
        <v>46</v>
      </c>
      <c r="B15" s="1">
        <v>3000</v>
      </c>
      <c r="C15">
        <v>1</v>
      </c>
      <c r="D15" s="1">
        <f>SUM(B15*C15)</f>
        <v>3000</v>
      </c>
    </row>
    <row r="16" spans="1:4">
      <c r="A16" t="s">
        <v>47</v>
      </c>
      <c r="B16" s="1">
        <v>200</v>
      </c>
      <c r="C16">
        <v>45</v>
      </c>
      <c r="D16" s="1">
        <f>SUM(B16*C16)</f>
        <v>9000</v>
      </c>
    </row>
    <row r="17" spans="1:4">
      <c r="A17" t="s">
        <v>48</v>
      </c>
      <c r="B17" s="1">
        <v>120</v>
      </c>
      <c r="C17">
        <v>1</v>
      </c>
      <c r="D17" s="1">
        <f>SUM(B17*C17)</f>
        <v>120</v>
      </c>
    </row>
    <row r="19" spans="1:4">
      <c r="C19" t="s">
        <v>16</v>
      </c>
      <c r="D19" s="1">
        <f>SUM(D4:D12)</f>
        <v>5345</v>
      </c>
    </row>
    <row r="20" spans="1:4">
      <c r="C20" t="s">
        <v>49</v>
      </c>
      <c r="D20" s="1">
        <f>SUM(D15:D17)</f>
        <v>12120</v>
      </c>
    </row>
    <row r="22" spans="1:4">
      <c r="C22" t="s">
        <v>25</v>
      </c>
      <c r="D22" s="1">
        <f>SUM(D19*12)+D20</f>
        <v>76260</v>
      </c>
    </row>
    <row r="24" spans="1:4">
      <c r="C24" t="s">
        <v>27</v>
      </c>
      <c r="D24" s="1">
        <f>SUM(D19*12)</f>
        <v>64140</v>
      </c>
    </row>
    <row r="26" spans="1:4">
      <c r="C26" t="s">
        <v>50</v>
      </c>
      <c r="D26" s="1">
        <f>SUM(D10:D12)/45</f>
        <v>58.333333333333336</v>
      </c>
    </row>
    <row r="27" spans="1:4">
      <c r="C27" t="s">
        <v>58</v>
      </c>
      <c r="D27" s="1">
        <f>SUM(D4:D7)</f>
        <v>2720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Current Breakdown</vt:lpstr>
      <vt:lpstr>Archway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Slade</cp:lastModifiedBy>
  <cp:lastPrinted>2016-11-29T22:16:41Z</cp:lastPrinted>
  <dcterms:created xsi:type="dcterms:W3CDTF">2016-11-28T21:21:06Z</dcterms:created>
  <dcterms:modified xsi:type="dcterms:W3CDTF">2025-03-27T03:45:54Z</dcterms:modified>
</cp:coreProperties>
</file>