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5"/>
  <workbookPr/>
  <mc:AlternateContent xmlns:mc="http://schemas.openxmlformats.org/markup-compatibility/2006">
    <mc:Choice Requires="x15">
      <x15ac:absPath xmlns:x15ac="http://schemas.microsoft.com/office/spreadsheetml/2010/11/ac" url="/Users/matt/Desktop/"/>
    </mc:Choice>
  </mc:AlternateContent>
  <bookViews>
    <workbookView xWindow="0" yWindow="0" windowWidth="28800" windowHeight="18000" activeTab="3"/>
  </bookViews>
  <sheets>
    <sheet name="PacketDriver" sheetId="1" r:id="rId1"/>
    <sheet name="Virsage" sheetId="2" r:id="rId2"/>
    <sheet name="Comparison" sheetId="3" r:id="rId3"/>
    <sheet name="Chart's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" i="1" l="1"/>
  <c r="F6" i="1"/>
  <c r="H6" i="1"/>
  <c r="I6" i="1"/>
  <c r="F7" i="1"/>
  <c r="H7" i="1"/>
  <c r="I7" i="1"/>
  <c r="F8" i="1"/>
  <c r="H8" i="1"/>
  <c r="I8" i="1"/>
  <c r="F9" i="1"/>
  <c r="H9" i="1"/>
  <c r="I9" i="1"/>
  <c r="I10" i="1"/>
  <c r="F11" i="1"/>
  <c r="H11" i="1"/>
  <c r="I11" i="1"/>
  <c r="G22" i="1"/>
  <c r="I22" i="1"/>
  <c r="F25" i="1"/>
  <c r="H25" i="1"/>
  <c r="I25" i="1"/>
  <c r="F27" i="1"/>
  <c r="H27" i="1"/>
  <c r="I27" i="1"/>
  <c r="F29" i="1"/>
  <c r="H29" i="1"/>
  <c r="I29" i="1"/>
  <c r="C33" i="1"/>
  <c r="I18" i="1"/>
  <c r="I19" i="1"/>
  <c r="I20" i="1"/>
  <c r="F15" i="1"/>
  <c r="H23" i="1"/>
  <c r="I23" i="1"/>
  <c r="C34" i="1"/>
  <c r="I21" i="1"/>
  <c r="H15" i="1"/>
  <c r="I15" i="1"/>
  <c r="C35" i="1"/>
  <c r="C37" i="1"/>
  <c r="F5" i="1"/>
  <c r="H5" i="1"/>
  <c r="J5" i="1"/>
  <c r="K5" i="1"/>
  <c r="J6" i="1"/>
  <c r="K6" i="1"/>
  <c r="J7" i="1"/>
  <c r="K7" i="1"/>
  <c r="J8" i="1"/>
  <c r="K8" i="1"/>
  <c r="J9" i="1"/>
  <c r="K9" i="1"/>
  <c r="K10" i="1"/>
  <c r="J11" i="1"/>
  <c r="K11" i="1"/>
  <c r="K22" i="1"/>
  <c r="J25" i="1"/>
  <c r="K25" i="1"/>
  <c r="J27" i="1"/>
  <c r="K27" i="1"/>
  <c r="J29" i="1"/>
  <c r="K29" i="1"/>
  <c r="D33" i="1"/>
  <c r="J23" i="1"/>
  <c r="K23" i="1"/>
  <c r="D34" i="1"/>
  <c r="J15" i="1"/>
  <c r="K15" i="1"/>
  <c r="D35" i="1"/>
  <c r="D37" i="1"/>
  <c r="G5" i="1"/>
  <c r="G6" i="1"/>
  <c r="G7" i="1"/>
  <c r="G8" i="1"/>
  <c r="G9" i="1"/>
  <c r="G10" i="1"/>
  <c r="G11" i="1"/>
  <c r="G25" i="1"/>
  <c r="G27" i="1"/>
  <c r="G29" i="1"/>
  <c r="B33" i="1"/>
  <c r="F23" i="1"/>
  <c r="G23" i="1"/>
  <c r="B34" i="1"/>
  <c r="G15" i="1"/>
  <c r="B35" i="1"/>
  <c r="B37" i="1"/>
  <c r="F5" i="2"/>
  <c r="H5" i="2"/>
  <c r="I5" i="2"/>
  <c r="I6" i="2"/>
  <c r="G16" i="2"/>
  <c r="I16" i="2"/>
  <c r="C21" i="2"/>
  <c r="F14" i="2"/>
  <c r="H14" i="2"/>
  <c r="I14" i="2"/>
  <c r="C22" i="2"/>
  <c r="F10" i="2"/>
  <c r="H10" i="2"/>
  <c r="I10" i="2"/>
  <c r="C23" i="2"/>
  <c r="C25" i="2"/>
  <c r="G5" i="2"/>
  <c r="G6" i="2"/>
  <c r="B21" i="2"/>
  <c r="G14" i="2"/>
  <c r="B22" i="2"/>
  <c r="G10" i="2"/>
  <c r="G12" i="2"/>
  <c r="B23" i="2"/>
  <c r="B25" i="2"/>
  <c r="A30" i="3"/>
  <c r="A31" i="3"/>
  <c r="B22" i="3"/>
  <c r="C22" i="3"/>
  <c r="D22" i="3"/>
  <c r="A23" i="3"/>
  <c r="B23" i="3"/>
  <c r="C23" i="3"/>
  <c r="A24" i="3"/>
  <c r="B24" i="3"/>
  <c r="C24" i="3"/>
  <c r="A25" i="3"/>
  <c r="B25" i="3"/>
  <c r="C25" i="3"/>
  <c r="G31" i="1"/>
  <c r="G19" i="3"/>
  <c r="G22" i="3"/>
  <c r="H22" i="3"/>
  <c r="I22" i="3"/>
  <c r="F23" i="3"/>
  <c r="G23" i="3"/>
  <c r="H23" i="3"/>
  <c r="F24" i="3"/>
  <c r="G24" i="3"/>
  <c r="H24" i="3"/>
  <c r="F25" i="3"/>
  <c r="G25" i="3"/>
  <c r="H25" i="3"/>
  <c r="A5" i="3"/>
  <c r="G14" i="3"/>
  <c r="F14" i="3"/>
  <c r="F15" i="3"/>
  <c r="F17" i="3"/>
  <c r="F16" i="3"/>
  <c r="F3" i="3"/>
  <c r="G3" i="3"/>
  <c r="F4" i="3"/>
  <c r="G4" i="3"/>
  <c r="F5" i="3"/>
  <c r="G5" i="3"/>
  <c r="F6" i="3"/>
  <c r="G6" i="3"/>
  <c r="F7" i="3"/>
  <c r="G7" i="3"/>
  <c r="F8" i="3"/>
  <c r="G8" i="3"/>
  <c r="F9" i="3"/>
  <c r="G9" i="3"/>
  <c r="F10" i="3"/>
  <c r="G10" i="3"/>
  <c r="F11" i="3"/>
  <c r="G11" i="3"/>
  <c r="F12" i="3"/>
  <c r="G12" i="3"/>
  <c r="F13" i="3"/>
  <c r="G13" i="3"/>
  <c r="G15" i="3"/>
  <c r="G16" i="3"/>
  <c r="G17" i="3"/>
  <c r="A7" i="3"/>
  <c r="A3" i="3"/>
  <c r="A4" i="3"/>
  <c r="B4" i="3"/>
  <c r="A6" i="3"/>
  <c r="B6" i="3"/>
  <c r="A8" i="3"/>
  <c r="B7" i="3"/>
  <c r="K16" i="2"/>
  <c r="J14" i="2"/>
  <c r="B5" i="3"/>
  <c r="K6" i="2"/>
  <c r="B3" i="3"/>
  <c r="G27" i="3"/>
  <c r="B30" i="3"/>
  <c r="C27" i="3"/>
  <c r="C31" i="3"/>
  <c r="H27" i="3"/>
  <c r="C30" i="3"/>
  <c r="B27" i="3"/>
  <c r="B31" i="3"/>
  <c r="C33" i="3"/>
  <c r="B33" i="3"/>
  <c r="J5" i="2"/>
  <c r="K5" i="2"/>
  <c r="D21" i="2"/>
  <c r="D23" i="3"/>
  <c r="B8" i="3"/>
  <c r="C23" i="1"/>
  <c r="G19" i="2"/>
  <c r="B10" i="3"/>
  <c r="K14" i="2"/>
  <c r="D22" i="2"/>
  <c r="J10" i="2"/>
  <c r="K10" i="2"/>
  <c r="D23" i="2"/>
  <c r="D25" i="3"/>
  <c r="I24" i="3"/>
  <c r="D24" i="3"/>
  <c r="D27" i="3"/>
  <c r="D31" i="3"/>
  <c r="D25" i="2"/>
  <c r="I23" i="3"/>
  <c r="I31" i="1"/>
  <c r="K19" i="2"/>
  <c r="I19" i="2"/>
  <c r="K31" i="1"/>
  <c r="I25" i="3"/>
  <c r="I27" i="3"/>
  <c r="D30" i="3"/>
  <c r="D33" i="3"/>
</calcChain>
</file>

<file path=xl/sharedStrings.xml><?xml version="1.0" encoding="utf-8"?>
<sst xmlns="http://schemas.openxmlformats.org/spreadsheetml/2006/main" count="70" uniqueCount="45">
  <si>
    <t>Packet Drivers</t>
  </si>
  <si>
    <t>Citrix</t>
  </si>
  <si>
    <t>Year 1</t>
  </si>
  <si>
    <t>Year 2</t>
  </si>
  <si>
    <t>Year 3</t>
  </si>
  <si>
    <t>Windows Server</t>
  </si>
  <si>
    <t>Software Costs</t>
  </si>
  <si>
    <t>Windows Cals</t>
  </si>
  <si>
    <t>Remote Desktop</t>
  </si>
  <si>
    <t>Microsoft Office</t>
  </si>
  <si>
    <t>Exchange Server</t>
  </si>
  <si>
    <t>Exchange Cal</t>
  </si>
  <si>
    <t>Owned</t>
  </si>
  <si>
    <t>Using</t>
  </si>
  <si>
    <t>Per Seat (User)</t>
  </si>
  <si>
    <t>Total</t>
  </si>
  <si>
    <r>
      <t xml:space="preserve">Needed </t>
    </r>
    <r>
      <rPr>
        <sz val="11"/>
        <color rgb="FFFF0000"/>
        <rFont val="Calibri"/>
        <family val="2"/>
        <scheme val="minor"/>
      </rPr>
      <t>*Licenses needed now; we are out of compliance</t>
    </r>
  </si>
  <si>
    <t>Labor Costs</t>
  </si>
  <si>
    <t xml:space="preserve">Projected Growth Year Two Projected Growth of 17% Following Year 1 </t>
  </si>
  <si>
    <t>Projected Growth Year Three (All Licenses need to be renewed in year three and projected growth of 17% Following Year 2</t>
  </si>
  <si>
    <t>Projected Growth Year One of 17% over current staff/locations/equipment</t>
  </si>
  <si>
    <t>Replace Computers with Thin Clients, One Monitor (20% of PC's Replaced Yearly with additonal 17% Growth)</t>
  </si>
  <si>
    <t>Growth Estimation</t>
  </si>
  <si>
    <t>CoLo Hosting (Monthly)</t>
  </si>
  <si>
    <t>Amazon EC2 Cloud Cost (Monthly)</t>
  </si>
  <si>
    <t>Misc E-mail filtering and backups (Monthly)</t>
  </si>
  <si>
    <t>Hardware Servers</t>
  </si>
  <si>
    <t>Storage</t>
  </si>
  <si>
    <t>Misc</t>
  </si>
  <si>
    <t>Labor Setup</t>
  </si>
  <si>
    <t>Server Hardware Costs for New Solution, (3rd Year includes an expected refresh</t>
  </si>
  <si>
    <t>Virsage</t>
  </si>
  <si>
    <t xml:space="preserve">Needed </t>
  </si>
  <si>
    <t>Virsage WorkPlace License</t>
  </si>
  <si>
    <t>Customer Server for Hawksoft</t>
  </si>
  <si>
    <t>Sonicwalls</t>
  </si>
  <si>
    <t>PacketDrivers</t>
  </si>
  <si>
    <t>Labor Setup of system transition</t>
  </si>
  <si>
    <t>Labor Flat rate of Per User Per Month</t>
  </si>
  <si>
    <t>SonicWall's Licenses</t>
  </si>
  <si>
    <t>Labor with Barrister</t>
  </si>
  <si>
    <t>Savings</t>
  </si>
  <si>
    <t>Labor</t>
  </si>
  <si>
    <t>Hardware</t>
  </si>
  <si>
    <t>Software/License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</si>
</sst>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  <numFmt numFmtId="165" formatCode="_(&quot;$&quot;* #,##0_);_(&quot;$&quot;* \(#,##0\);_(&quot;$&quot;* &quot;-&quot;??_);_(@_)"/>
    <numFmt numFmtId="166" formatCode="&quot;$&quot;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5">
    <xf numFmtId="0" fontId="0" fillId="0" borderId="0" xfId="0"/>
    <xf numFmtId="164" fontId="0" fillId="0" borderId="0" xfId="0" applyNumberFormat="1"/>
    <xf numFmtId="0" fontId="0" fillId="0" borderId="0" xfId="0"/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/>
    </xf>
    <xf numFmtId="164" fontId="0" fillId="0" borderId="0" xfId="1" applyNumberFormat="1" applyFont="1"/>
    <xf numFmtId="1" fontId="0" fillId="0" borderId="0" xfId="0" applyNumberFormat="1"/>
    <xf numFmtId="166" fontId="0" fillId="0" borderId="0" xfId="0" applyNumberFormat="1"/>
    <xf numFmtId="166" fontId="3" fillId="0" borderId="0" xfId="0" applyNumberFormat="1" applyFont="1"/>
    <xf numFmtId="164" fontId="0" fillId="0" borderId="0" xfId="0" applyNumberFormat="1" applyBorder="1"/>
    <xf numFmtId="0" fontId="0" fillId="0" borderId="0" xfId="0"/>
    <xf numFmtId="6" fontId="0" fillId="0" borderId="0" xfId="0" applyNumberFormat="1"/>
    <xf numFmtId="0" fontId="3" fillId="0" borderId="0" xfId="0" applyFont="1"/>
    <xf numFmtId="0" fontId="0" fillId="2" borderId="0" xfId="0" applyFill="1" applyAlignment="1">
      <alignment horizontal="left" vertical="top" wrapText="1"/>
    </xf>
    <xf numFmtId="166" fontId="0" fillId="2" borderId="0" xfId="0" applyNumberFormat="1" applyFill="1" applyAlignment="1">
      <alignment horizontal="left" vertical="top"/>
    </xf>
    <xf numFmtId="1" fontId="0" fillId="2" borderId="0" xfId="0" applyNumberFormat="1" applyFill="1"/>
    <xf numFmtId="166" fontId="4" fillId="2" borderId="0" xfId="0" applyNumberFormat="1" applyFont="1" applyFill="1"/>
    <xf numFmtId="166" fontId="0" fillId="3" borderId="0" xfId="0" applyNumberFormat="1" applyFill="1" applyAlignment="1">
      <alignment horizontal="left" vertical="top"/>
    </xf>
    <xf numFmtId="1" fontId="0" fillId="3" borderId="0" xfId="0" applyNumberFormat="1" applyFill="1"/>
    <xf numFmtId="166" fontId="0" fillId="3" borderId="0" xfId="0" applyNumberFormat="1" applyFill="1"/>
    <xf numFmtId="166" fontId="0" fillId="4" borderId="0" xfId="0" applyNumberFormat="1" applyFill="1" applyAlignment="1">
      <alignment horizontal="left" vertical="top"/>
    </xf>
    <xf numFmtId="1" fontId="0" fillId="4" borderId="0" xfId="0" applyNumberFormat="1" applyFill="1"/>
    <xf numFmtId="166" fontId="0" fillId="4" borderId="0" xfId="0" applyNumberFormat="1" applyFill="1"/>
    <xf numFmtId="1" fontId="0" fillId="3" borderId="0" xfId="0" applyNumberFormat="1" applyFill="1" applyAlignment="1">
      <alignment horizontal="left" vertical="top" wrapText="1"/>
    </xf>
    <xf numFmtId="1" fontId="3" fillId="0" borderId="0" xfId="0" applyNumberFormat="1" applyFont="1"/>
    <xf numFmtId="1" fontId="0" fillId="4" borderId="0" xfId="0" applyNumberFormat="1" applyFill="1" applyAlignment="1">
      <alignment horizontal="left" vertical="top" wrapText="1"/>
    </xf>
    <xf numFmtId="0" fontId="0" fillId="0" borderId="0" xfId="0"/>
    <xf numFmtId="6" fontId="0" fillId="0" borderId="0" xfId="0" applyNumberFormat="1"/>
    <xf numFmtId="0" fontId="3" fillId="0" borderId="0" xfId="0" applyFont="1"/>
    <xf numFmtId="165" fontId="3" fillId="0" borderId="0" xfId="0" applyNumberFormat="1" applyFont="1" applyBorder="1"/>
    <xf numFmtId="165" fontId="0" fillId="0" borderId="0" xfId="0" applyNumberFormat="1" applyBorder="1"/>
    <xf numFmtId="9" fontId="0" fillId="0" borderId="0" xfId="0" applyNumberFormat="1"/>
    <xf numFmtId="9" fontId="3" fillId="0" borderId="0" xfId="0" applyNumberFormat="1" applyFont="1"/>
    <xf numFmtId="0" fontId="3" fillId="0" borderId="0" xfId="0" applyFont="1" applyAlignment="1">
      <alignment wrapText="1"/>
    </xf>
    <xf numFmtId="0" fontId="0" fillId="0" borderId="0" xfId="0"/>
    <xf numFmtId="165" fontId="0" fillId="0" borderId="0" xfId="1" applyNumberFormat="1" applyFont="1"/>
    <xf numFmtId="0" fontId="0" fillId="0" borderId="0" xfId="0" applyBorder="1"/>
    <xf numFmtId="165" fontId="3" fillId="0" borderId="0" xfId="0" applyNumberFormat="1" applyFont="1" applyBorder="1"/>
    <xf numFmtId="0" fontId="3" fillId="2" borderId="0" xfId="0" applyFont="1" applyFill="1" applyBorder="1"/>
    <xf numFmtId="166" fontId="3" fillId="2" borderId="0" xfId="0" applyNumberFormat="1" applyFont="1" applyFill="1" applyBorder="1"/>
    <xf numFmtId="0" fontId="0" fillId="2" borderId="0" xfId="0" applyFill="1"/>
    <xf numFmtId="166" fontId="0" fillId="2" borderId="0" xfId="0" applyNumberFormat="1" applyFill="1"/>
    <xf numFmtId="0" fontId="0" fillId="2" borderId="0" xfId="0" applyFill="1" applyBorder="1"/>
    <xf numFmtId="37" fontId="0" fillId="2" borderId="0" xfId="0" applyNumberFormat="1" applyFill="1" applyBorder="1"/>
    <xf numFmtId="164" fontId="0" fillId="2" borderId="0" xfId="0" applyNumberFormat="1" applyFill="1"/>
    <xf numFmtId="1" fontId="0" fillId="3" borderId="0" xfId="0" applyNumberFormat="1" applyFill="1" applyBorder="1"/>
    <xf numFmtId="166" fontId="3" fillId="3" borderId="0" xfId="0" applyNumberFormat="1" applyFont="1" applyFill="1" applyBorder="1"/>
    <xf numFmtId="164" fontId="0" fillId="3" borderId="0" xfId="0" applyNumberFormat="1" applyFill="1"/>
    <xf numFmtId="1" fontId="0" fillId="4" borderId="0" xfId="0" applyNumberFormat="1" applyFill="1" applyBorder="1"/>
    <xf numFmtId="166" fontId="3" fillId="4" borderId="0" xfId="0" applyNumberFormat="1" applyFont="1" applyFill="1" applyBorder="1"/>
    <xf numFmtId="166" fontId="0" fillId="4" borderId="0" xfId="1" applyNumberFormat="1" applyFont="1" applyFill="1"/>
    <xf numFmtId="164" fontId="0" fillId="4" borderId="0" xfId="0" applyNumberFormat="1" applyFill="1"/>
    <xf numFmtId="0" fontId="5" fillId="0" borderId="0" xfId="0" applyFont="1"/>
    <xf numFmtId="0" fontId="4" fillId="0" borderId="0" xfId="0" applyFont="1"/>
    <xf numFmtId="0" fontId="0" fillId="0" borderId="0" xfId="0" applyAlignment="1">
      <alignment wrapText="1"/>
    </xf>
    <xf numFmtId="44" fontId="0" fillId="0" borderId="0" xfId="1" applyFont="1"/>
    <xf numFmtId="44" fontId="0" fillId="0" borderId="0" xfId="1" applyFont="1" applyAlignment="1">
      <alignment wrapText="1"/>
    </xf>
    <xf numFmtId="37" fontId="0" fillId="0" borderId="0" xfId="0" applyNumberFormat="1" applyBorder="1"/>
    <xf numFmtId="44" fontId="0" fillId="2" borderId="0" xfId="0" applyNumberFormat="1" applyFill="1"/>
    <xf numFmtId="0" fontId="0" fillId="5" borderId="0" xfId="0" applyFill="1"/>
    <xf numFmtId="164" fontId="0" fillId="5" borderId="0" xfId="0" applyNumberFormat="1" applyFill="1"/>
    <xf numFmtId="166" fontId="0" fillId="5" borderId="0" xfId="0" applyNumberFormat="1" applyFill="1"/>
    <xf numFmtId="0" fontId="6" fillId="0" borderId="0" xfId="0" applyFont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5" borderId="0" xfId="0" applyNumberFormat="1" applyFill="1"/>
    <xf numFmtId="44" fontId="0" fillId="5" borderId="0" xfId="1" applyFont="1" applyFill="1"/>
    <xf numFmtId="0" fontId="0" fillId="6" borderId="0" xfId="0" applyFill="1"/>
    <xf numFmtId="0" fontId="0" fillId="6" borderId="0" xfId="0" applyNumberFormat="1" applyFill="1"/>
    <xf numFmtId="166" fontId="0" fillId="6" borderId="0" xfId="0" applyNumberFormat="1" applyFill="1"/>
    <xf numFmtId="164" fontId="0" fillId="6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5"/>
    </mc:Choice>
    <mc:Fallback>
      <c:style val="45"/>
    </mc:Fallback>
  </mc:AlternateContent>
  <c:chart>
    <c:autoTitleDeleted val="0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1"/>
          <c:order val="1"/>
          <c:tx>
            <c:strRef>
              <c:f>Virsage!$A$22</c:f>
              <c:strCache>
                <c:ptCount val="1"/>
                <c:pt idx="0">
                  <c:v>Hardware</c:v>
                </c:pt>
              </c:strCache>
            </c:strRef>
          </c:tx>
          <c:invertIfNegative val="0"/>
          <c:cat>
            <c:numRef>
              <c:f>Virsage!$B$20:$D$20</c:f>
              <c:numCache>
                <c:formatCode>General</c:formatCode>
                <c:ptCount val="3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</c:numCache>
            </c:numRef>
          </c:cat>
          <c:val>
            <c:numRef>
              <c:f>Virsage!$B$22:$D$22</c:f>
              <c:numCache>
                <c:formatCode>"$"#,##0</c:formatCode>
                <c:ptCount val="3"/>
                <c:pt idx="0">
                  <c:v>14274.0</c:v>
                </c:pt>
                <c:pt idx="1">
                  <c:v>16700.58</c:v>
                </c:pt>
                <c:pt idx="2">
                  <c:v>19539.6786</c:v>
                </c:pt>
              </c:numCache>
            </c:numRef>
          </c:val>
        </c:ser>
        <c:ser>
          <c:idx val="2"/>
          <c:order val="2"/>
          <c:tx>
            <c:strRef>
              <c:f>Virsage!$A$23</c:f>
              <c:strCache>
                <c:ptCount val="1"/>
                <c:pt idx="0">
                  <c:v>Labor</c:v>
                </c:pt>
              </c:strCache>
            </c:strRef>
          </c:tx>
          <c:invertIfNegative val="0"/>
          <c:cat>
            <c:numRef>
              <c:f>Virsage!$B$20:$D$20</c:f>
              <c:numCache>
                <c:formatCode>General</c:formatCode>
                <c:ptCount val="3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</c:numCache>
            </c:numRef>
          </c:cat>
          <c:val>
            <c:numRef>
              <c:f>Virsage!$B$23:$D$23</c:f>
              <c:numCache>
                <c:formatCode>"$"#,##0</c:formatCode>
                <c:ptCount val="3"/>
                <c:pt idx="0" formatCode="&quot;$&quot;#,##0.00">
                  <c:v>13424.0</c:v>
                </c:pt>
                <c:pt idx="1">
                  <c:v>9856.08</c:v>
                </c:pt>
                <c:pt idx="2">
                  <c:v>11531.6136</c:v>
                </c:pt>
              </c:numCache>
            </c:numRef>
          </c:val>
        </c:ser>
        <c:ser>
          <c:idx val="0"/>
          <c:order val="0"/>
          <c:tx>
            <c:strRef>
              <c:f>Virsage!$A$21</c:f>
              <c:strCache>
                <c:ptCount val="1"/>
                <c:pt idx="0">
                  <c:v>Software/License</c:v>
                </c:pt>
              </c:strCache>
            </c:strRef>
          </c:tx>
          <c:invertIfNegative val="0"/>
          <c:cat>
            <c:numRef>
              <c:f>Virsage!$B$20:$D$20</c:f>
              <c:numCache>
                <c:formatCode>General</c:formatCode>
                <c:ptCount val="3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</c:numCache>
            </c:numRef>
          </c:cat>
          <c:val>
            <c:numRef>
              <c:f>Virsage!$B$21:$D$21</c:f>
              <c:numCache>
                <c:formatCode>"$"#,##0</c:formatCode>
                <c:ptCount val="3"/>
                <c:pt idx="0">
                  <c:v>99147.20000000001</c:v>
                </c:pt>
                <c:pt idx="1">
                  <c:v>115942.724</c:v>
                </c:pt>
                <c:pt idx="2" formatCode="&quot;$&quot;#,##0.00">
                  <c:v>135593.48708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shape val="cylinder"/>
        <c:axId val="1610833408"/>
        <c:axId val="1610836160"/>
        <c:axId val="0"/>
      </c:bar3DChart>
      <c:catAx>
        <c:axId val="1610833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10836160"/>
        <c:crosses val="autoZero"/>
        <c:auto val="1"/>
        <c:lblAlgn val="ctr"/>
        <c:lblOffset val="100"/>
        <c:noMultiLvlLbl val="0"/>
      </c:catAx>
      <c:valAx>
        <c:axId val="1610836160"/>
        <c:scaling>
          <c:orientation val="minMax"/>
        </c:scaling>
        <c:delete val="0"/>
        <c:axPos val="l"/>
        <c:majorGridlines/>
        <c:numFmt formatCode="&quot;$&quot;#,##0" sourceLinked="1"/>
        <c:majorTickMark val="out"/>
        <c:minorTickMark val="none"/>
        <c:tickLblPos val="nextTo"/>
        <c:crossAx val="16108334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8"/>
    </mc:Choice>
    <mc:Fallback>
      <c:style val="4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Comparison!$A$30</c:f>
              <c:strCache>
                <c:ptCount val="1"/>
                <c:pt idx="0">
                  <c:v>PacketDrivers</c:v>
                </c:pt>
              </c:strCache>
            </c:strRef>
          </c:tx>
          <c:invertIfNegative val="0"/>
          <c:cat>
            <c:numRef>
              <c:f>Comparison!$B$29:$D$29</c:f>
              <c:numCache>
                <c:formatCode>General</c:formatCode>
                <c:ptCount val="3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</c:numCache>
            </c:numRef>
          </c:cat>
          <c:val>
            <c:numRef>
              <c:f>Comparison!$B$30:$D$30</c:f>
              <c:numCache>
                <c:formatCode>_("$"* #,##0.00_);_("$"* \(#,##0.00\);_("$"* "-"??_);_(@_)</c:formatCode>
                <c:ptCount val="3"/>
                <c:pt idx="0">
                  <c:v>263844.1</c:v>
                </c:pt>
                <c:pt idx="1">
                  <c:v>235140.687</c:v>
                </c:pt>
                <c:pt idx="2">
                  <c:v>388280.25699</c:v>
                </c:pt>
              </c:numCache>
            </c:numRef>
          </c:val>
        </c:ser>
        <c:ser>
          <c:idx val="1"/>
          <c:order val="1"/>
          <c:tx>
            <c:strRef>
              <c:f>Comparison!$A$31</c:f>
              <c:strCache>
                <c:ptCount val="1"/>
                <c:pt idx="0">
                  <c:v>Virsage</c:v>
                </c:pt>
              </c:strCache>
            </c:strRef>
          </c:tx>
          <c:invertIfNegative val="0"/>
          <c:cat>
            <c:numRef>
              <c:f>Comparison!$B$29:$D$29</c:f>
              <c:numCache>
                <c:formatCode>General</c:formatCode>
                <c:ptCount val="3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</c:numCache>
            </c:numRef>
          </c:cat>
          <c:val>
            <c:numRef>
              <c:f>Comparison!$B$31:$D$31</c:f>
              <c:numCache>
                <c:formatCode>_("$"* #,##0.00_);_("$"* \(#,##0.00\);_("$"* "-"??_);_(@_)</c:formatCode>
                <c:ptCount val="3"/>
                <c:pt idx="0">
                  <c:v>126845.2</c:v>
                </c:pt>
                <c:pt idx="1">
                  <c:v>142499.384</c:v>
                </c:pt>
                <c:pt idx="2">
                  <c:v>166664.77928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0861776"/>
        <c:axId val="1610864528"/>
      </c:barChart>
      <c:catAx>
        <c:axId val="1610861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10864528"/>
        <c:crosses val="autoZero"/>
        <c:auto val="1"/>
        <c:lblAlgn val="ctr"/>
        <c:lblOffset val="100"/>
        <c:noMultiLvlLbl val="0"/>
      </c:catAx>
      <c:valAx>
        <c:axId val="1610864528"/>
        <c:scaling>
          <c:orientation val="minMax"/>
        </c:scaling>
        <c:delete val="0"/>
        <c:axPos val="l"/>
        <c:majorGridlines/>
        <c:numFmt formatCode="_(&quot;$&quot;* #,##0.00_);_(&quot;$&quot;* \(#,##0.00\);_(&quot;$&quot;* &quot;-&quot;??_);_(@_)" sourceLinked="1"/>
        <c:majorTickMark val="out"/>
        <c:minorTickMark val="none"/>
        <c:tickLblPos val="nextTo"/>
        <c:crossAx val="16108617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autoTitleDeleted val="0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PacketDriver!$A$33</c:f>
              <c:strCache>
                <c:ptCount val="1"/>
                <c:pt idx="0">
                  <c:v>Software/License</c:v>
                </c:pt>
              </c:strCache>
            </c:strRef>
          </c:tx>
          <c:invertIfNegative val="0"/>
          <c:cat>
            <c:numRef>
              <c:f>PacketDriver!$B$32:$D$32</c:f>
              <c:numCache>
                <c:formatCode>General</c:formatCode>
                <c:ptCount val="3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</c:numCache>
            </c:numRef>
          </c:cat>
          <c:val>
            <c:numRef>
              <c:f>PacketDriver!$B$33:$D$33</c:f>
              <c:numCache>
                <c:formatCode>"$"#,##0.00</c:formatCode>
                <c:ptCount val="3"/>
                <c:pt idx="0">
                  <c:v>83571.1</c:v>
                </c:pt>
                <c:pt idx="1">
                  <c:v>56088.18700000001</c:v>
                </c:pt>
                <c:pt idx="2">
                  <c:v>140156.38199</c:v>
                </c:pt>
              </c:numCache>
            </c:numRef>
          </c:val>
        </c:ser>
        <c:ser>
          <c:idx val="1"/>
          <c:order val="1"/>
          <c:tx>
            <c:strRef>
              <c:f>PacketDriver!$A$34</c:f>
              <c:strCache>
                <c:ptCount val="1"/>
                <c:pt idx="0">
                  <c:v>Hardware</c:v>
                </c:pt>
              </c:strCache>
            </c:strRef>
          </c:tx>
          <c:invertIfNegative val="0"/>
          <c:cat>
            <c:numRef>
              <c:f>PacketDriver!$B$32:$D$32</c:f>
              <c:numCache>
                <c:formatCode>General</c:formatCode>
                <c:ptCount val="3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</c:numCache>
            </c:numRef>
          </c:cat>
          <c:val>
            <c:numRef>
              <c:f>PacketDriver!$B$34:$D$34</c:f>
              <c:numCache>
                <c:formatCode>"$"#,##0</c:formatCode>
                <c:ptCount val="3"/>
                <c:pt idx="0">
                  <c:v>52423.0</c:v>
                </c:pt>
                <c:pt idx="1">
                  <c:v>34468.0</c:v>
                </c:pt>
                <c:pt idx="2">
                  <c:v>74954.51000000001</c:v>
                </c:pt>
              </c:numCache>
            </c:numRef>
          </c:val>
        </c:ser>
        <c:ser>
          <c:idx val="2"/>
          <c:order val="2"/>
          <c:tx>
            <c:strRef>
              <c:f>PacketDriver!$A$35</c:f>
              <c:strCache>
                <c:ptCount val="1"/>
                <c:pt idx="0">
                  <c:v>Labor</c:v>
                </c:pt>
              </c:strCache>
            </c:strRef>
          </c:tx>
          <c:invertIfNegative val="0"/>
          <c:cat>
            <c:numRef>
              <c:f>PacketDriver!$B$32:$D$32</c:f>
              <c:numCache>
                <c:formatCode>General</c:formatCode>
                <c:ptCount val="3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</c:numCache>
            </c:numRef>
          </c:cat>
          <c:val>
            <c:numRef>
              <c:f>PacketDriver!$B$35:$D$35</c:f>
              <c:numCache>
                <c:formatCode>"$"#,##0</c:formatCode>
                <c:ptCount val="3"/>
                <c:pt idx="0" formatCode="&quot;$&quot;#,##0.00">
                  <c:v>127850.0</c:v>
                </c:pt>
                <c:pt idx="1">
                  <c:v>144584.5</c:v>
                </c:pt>
                <c:pt idx="2">
                  <c:v>173169.365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610896624"/>
        <c:axId val="1610899376"/>
        <c:axId val="0"/>
      </c:bar3DChart>
      <c:catAx>
        <c:axId val="1610896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10899376"/>
        <c:crosses val="autoZero"/>
        <c:auto val="1"/>
        <c:lblAlgn val="ctr"/>
        <c:lblOffset val="100"/>
        <c:noMultiLvlLbl val="0"/>
      </c:catAx>
      <c:valAx>
        <c:axId val="1610899376"/>
        <c:scaling>
          <c:orientation val="minMax"/>
        </c:scaling>
        <c:delete val="0"/>
        <c:axPos val="l"/>
        <c:majorGridlines/>
        <c:numFmt formatCode="&quot;$&quot;#,##0.00" sourceLinked="1"/>
        <c:majorTickMark val="out"/>
        <c:minorTickMark val="none"/>
        <c:tickLblPos val="nextTo"/>
        <c:crossAx val="16108966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2</xdr:row>
      <xdr:rowOff>95250</xdr:rowOff>
    </xdr:from>
    <xdr:to>
      <xdr:col>15</xdr:col>
      <xdr:colOff>352425</xdr:colOff>
      <xdr:row>16</xdr:row>
      <xdr:rowOff>171450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180973</xdr:colOff>
      <xdr:row>20</xdr:row>
      <xdr:rowOff>28575</xdr:rowOff>
    </xdr:from>
    <xdr:to>
      <xdr:col>15</xdr:col>
      <xdr:colOff>295274</xdr:colOff>
      <xdr:row>35</xdr:row>
      <xdr:rowOff>161925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57150</xdr:colOff>
      <xdr:row>0</xdr:row>
      <xdr:rowOff>66675</xdr:rowOff>
    </xdr:from>
    <xdr:to>
      <xdr:col>7</xdr:col>
      <xdr:colOff>323850</xdr:colOff>
      <xdr:row>2</xdr:row>
      <xdr:rowOff>0</xdr:rowOff>
    </xdr:to>
    <xdr:sp macro="" textlink="">
      <xdr:nvSpPr>
        <xdr:cNvPr id="6" name="TextBox 5"/>
        <xdr:cNvSpPr txBox="1"/>
      </xdr:nvSpPr>
      <xdr:spPr>
        <a:xfrm>
          <a:off x="57150" y="66675"/>
          <a:ext cx="45339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/>
            <a:t>PacketDrivers</a:t>
          </a:r>
          <a:r>
            <a:rPr lang="en-US" sz="1800" baseline="0"/>
            <a:t> Cost Breakdown</a:t>
          </a:r>
          <a:endParaRPr lang="en-US" sz="1800"/>
        </a:p>
      </xdr:txBody>
    </xdr:sp>
    <xdr:clientData/>
  </xdr:twoCellAnchor>
  <xdr:twoCellAnchor>
    <xdr:from>
      <xdr:col>8</xdr:col>
      <xdr:colOff>28575</xdr:colOff>
      <xdr:row>0</xdr:row>
      <xdr:rowOff>66675</xdr:rowOff>
    </xdr:from>
    <xdr:to>
      <xdr:col>15</xdr:col>
      <xdr:colOff>295275</xdr:colOff>
      <xdr:row>2</xdr:row>
      <xdr:rowOff>0</xdr:rowOff>
    </xdr:to>
    <xdr:sp macro="" textlink="">
      <xdr:nvSpPr>
        <xdr:cNvPr id="7" name="TextBox 6"/>
        <xdr:cNvSpPr txBox="1"/>
      </xdr:nvSpPr>
      <xdr:spPr>
        <a:xfrm>
          <a:off x="4905375" y="66675"/>
          <a:ext cx="45339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/>
            <a:t>Virsage Cost Breakdown</a:t>
          </a:r>
        </a:p>
      </xdr:txBody>
    </xdr:sp>
    <xdr:clientData/>
  </xdr:twoCellAnchor>
  <xdr:twoCellAnchor>
    <xdr:from>
      <xdr:col>3</xdr:col>
      <xdr:colOff>495300</xdr:colOff>
      <xdr:row>17</xdr:row>
      <xdr:rowOff>133350</xdr:rowOff>
    </xdr:from>
    <xdr:to>
      <xdr:col>11</xdr:col>
      <xdr:colOff>152400</xdr:colOff>
      <xdr:row>19</xdr:row>
      <xdr:rowOff>66675</xdr:rowOff>
    </xdr:to>
    <xdr:sp macro="" textlink="">
      <xdr:nvSpPr>
        <xdr:cNvPr id="8" name="TextBox 7"/>
        <xdr:cNvSpPr txBox="1"/>
      </xdr:nvSpPr>
      <xdr:spPr>
        <a:xfrm>
          <a:off x="2324100" y="3371850"/>
          <a:ext cx="45339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/>
            <a:t>PacketDrivers/Virsage</a:t>
          </a:r>
          <a:r>
            <a:rPr lang="en-US" sz="1800" baseline="0"/>
            <a:t> Cost Comparison</a:t>
          </a:r>
        </a:p>
      </xdr:txBody>
    </xdr:sp>
    <xdr:clientData/>
  </xdr:twoCellAnchor>
  <xdr:twoCellAnchor>
    <xdr:from>
      <xdr:col>0</xdr:col>
      <xdr:colOff>57150</xdr:colOff>
      <xdr:row>2</xdr:row>
      <xdr:rowOff>76200</xdr:rowOff>
    </xdr:from>
    <xdr:to>
      <xdr:col>7</xdr:col>
      <xdr:colOff>364974</xdr:colOff>
      <xdr:row>16</xdr:row>
      <xdr:rowOff>152400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zoomScale="70" zoomScaleNormal="70" workbookViewId="0">
      <selection activeCell="A40" sqref="A40"/>
    </sheetView>
  </sheetViews>
  <sheetFormatPr baseColWidth="10" defaultColWidth="8.83203125" defaultRowHeight="15" x14ac:dyDescent="0.2"/>
  <cols>
    <col min="1" max="1" width="40.5" bestFit="1" customWidth="1"/>
    <col min="2" max="2" width="13.6640625" style="1" bestFit="1" customWidth="1"/>
    <col min="3" max="3" width="20.83203125" bestFit="1" customWidth="1"/>
    <col min="4" max="4" width="13.5" bestFit="1" customWidth="1"/>
    <col min="5" max="5" width="17" customWidth="1"/>
    <col min="6" max="6" width="32" style="2" bestFit="1" customWidth="1"/>
    <col min="7" max="7" width="21.1640625" style="11" customWidth="1"/>
    <col min="8" max="8" width="29.6640625" style="10" customWidth="1"/>
    <col min="9" max="9" width="16.33203125" style="11" customWidth="1"/>
    <col min="10" max="10" width="29.6640625" style="10" customWidth="1"/>
    <col min="11" max="11" width="23.33203125" style="11" bestFit="1" customWidth="1"/>
  </cols>
  <sheetData>
    <row r="1" spans="1:23" ht="31" x14ac:dyDescent="0.35">
      <c r="A1" s="56" t="s">
        <v>0</v>
      </c>
    </row>
    <row r="2" spans="1:23" x14ac:dyDescent="0.2">
      <c r="C2" s="1"/>
      <c r="D2" s="1"/>
      <c r="E2" s="1"/>
      <c r="F2" s="1"/>
      <c r="G2" s="1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s="2" customFormat="1" x14ac:dyDescent="0.2">
      <c r="A3" s="3" t="s">
        <v>22</v>
      </c>
      <c r="B3" s="35"/>
      <c r="C3" s="1"/>
      <c r="D3" s="1"/>
      <c r="E3" s="1"/>
      <c r="F3" s="1"/>
      <c r="G3" s="36">
        <v>0.17</v>
      </c>
      <c r="H3" s="10"/>
      <c r="I3" s="36">
        <v>0.17</v>
      </c>
      <c r="J3" s="10"/>
      <c r="K3" s="36">
        <v>0.17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s="6" customFormat="1" ht="60" x14ac:dyDescent="0.2">
      <c r="A4" s="5" t="s">
        <v>6</v>
      </c>
      <c r="B4" s="8" t="s">
        <v>14</v>
      </c>
      <c r="C4" s="6" t="s">
        <v>13</v>
      </c>
      <c r="D4" s="6" t="s">
        <v>12</v>
      </c>
      <c r="E4" s="7" t="s">
        <v>16</v>
      </c>
      <c r="F4" s="17" t="s">
        <v>20</v>
      </c>
      <c r="G4" s="18" t="s">
        <v>2</v>
      </c>
      <c r="H4" s="27" t="s">
        <v>18</v>
      </c>
      <c r="I4" s="21" t="s">
        <v>3</v>
      </c>
      <c r="J4" s="29" t="s">
        <v>19</v>
      </c>
      <c r="K4" s="24" t="s">
        <v>4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x14ac:dyDescent="0.2">
      <c r="A5" s="2" t="s">
        <v>5</v>
      </c>
      <c r="B5" s="1">
        <v>800</v>
      </c>
      <c r="C5" s="2">
        <v>8</v>
      </c>
      <c r="D5" s="2">
        <v>5</v>
      </c>
      <c r="E5" s="4">
        <v>3</v>
      </c>
      <c r="F5" s="19">
        <f>(C5*G3)-1</f>
        <v>0.3600000000000001</v>
      </c>
      <c r="G5" s="20">
        <f>(B5*F5)*0</f>
        <v>0</v>
      </c>
      <c r="H5" s="22">
        <f>(C5+F5)*I3</f>
        <v>1.4212</v>
      </c>
      <c r="I5" s="23">
        <f>(B5*2)</f>
        <v>1600</v>
      </c>
      <c r="J5" s="25">
        <f>((C5+F5+H5)*K3-2)+C5+F5+H5</f>
        <v>9.4440040000000014</v>
      </c>
      <c r="K5" s="26">
        <f>B5*J5</f>
        <v>7555.2032000000008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">
      <c r="A6" s="2" t="s">
        <v>7</v>
      </c>
      <c r="B6" s="9">
        <v>30</v>
      </c>
      <c r="C6" s="2">
        <v>70</v>
      </c>
      <c r="D6" s="2">
        <v>55</v>
      </c>
      <c r="E6" s="4">
        <v>15</v>
      </c>
      <c r="F6" s="19">
        <f>(C6*G3)</f>
        <v>11.9</v>
      </c>
      <c r="G6" s="20">
        <f>(B6*(E6+F6))</f>
        <v>807</v>
      </c>
      <c r="H6" s="22">
        <f>(C6+F6)*I3</f>
        <v>13.923000000000002</v>
      </c>
      <c r="I6" s="23">
        <f t="shared" ref="I6:I11" si="0">(B6*H6)</f>
        <v>417.69000000000005</v>
      </c>
      <c r="J6" s="25">
        <f>((C6+F6+H6)*K3)+C6</f>
        <v>86.289910000000006</v>
      </c>
      <c r="K6" s="26">
        <f t="shared" ref="K6:K11" si="1">B6*J6</f>
        <v>2588.6973000000003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">
      <c r="A7" s="2" t="s">
        <v>8</v>
      </c>
      <c r="B7" s="9">
        <v>75</v>
      </c>
      <c r="C7" s="2">
        <v>70</v>
      </c>
      <c r="D7" s="2">
        <v>50</v>
      </c>
      <c r="E7" s="4">
        <v>20</v>
      </c>
      <c r="F7" s="19">
        <f>(C7*G3)</f>
        <v>11.9</v>
      </c>
      <c r="G7" s="20">
        <f t="shared" ref="G7:G11" si="2">(B7*(E7+F7))</f>
        <v>2392.5</v>
      </c>
      <c r="H7" s="22">
        <f>(C7+F7)*I3</f>
        <v>13.923000000000002</v>
      </c>
      <c r="I7" s="23">
        <f t="shared" si="0"/>
        <v>1044.2250000000001</v>
      </c>
      <c r="J7" s="25">
        <f>((C7+F7+H7)*K3)+C7</f>
        <v>86.289910000000006</v>
      </c>
      <c r="K7" s="26">
        <f t="shared" si="1"/>
        <v>6471.7432500000004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">
      <c r="A8" s="2" t="s">
        <v>9</v>
      </c>
      <c r="B8" s="9">
        <v>400</v>
      </c>
      <c r="C8" s="2">
        <v>70</v>
      </c>
      <c r="D8" s="2">
        <v>55</v>
      </c>
      <c r="E8" s="4">
        <v>15</v>
      </c>
      <c r="F8" s="19">
        <f>C8*G3</f>
        <v>11.9</v>
      </c>
      <c r="G8" s="20">
        <f t="shared" si="2"/>
        <v>10760</v>
      </c>
      <c r="H8" s="22">
        <f>(C8+F8)*I3</f>
        <v>13.923000000000002</v>
      </c>
      <c r="I8" s="23">
        <f t="shared" si="0"/>
        <v>5569.2000000000007</v>
      </c>
      <c r="J8" s="25">
        <f>((C8+F8+H8)*K3)+C8</f>
        <v>86.289910000000006</v>
      </c>
      <c r="K8" s="26">
        <f t="shared" si="1"/>
        <v>34515.964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">
      <c r="A9" s="2" t="s">
        <v>1</v>
      </c>
      <c r="B9" s="1">
        <v>400</v>
      </c>
      <c r="C9" s="2">
        <v>70</v>
      </c>
      <c r="D9" s="2">
        <v>0</v>
      </c>
      <c r="E9" s="2">
        <v>70</v>
      </c>
      <c r="F9" s="19">
        <f>(C9*G3)</f>
        <v>11.9</v>
      </c>
      <c r="G9" s="20">
        <f t="shared" si="2"/>
        <v>32760.000000000004</v>
      </c>
      <c r="H9" s="22">
        <f>(C9+F9)*I3</f>
        <v>13.923000000000002</v>
      </c>
      <c r="I9" s="23">
        <f t="shared" si="0"/>
        <v>5569.2000000000007</v>
      </c>
      <c r="J9" s="25">
        <f>((C9+F9+H9)*K3)+C9</f>
        <v>86.289910000000006</v>
      </c>
      <c r="K9" s="26">
        <f t="shared" si="1"/>
        <v>34515.964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">
      <c r="A10" s="2" t="s">
        <v>10</v>
      </c>
      <c r="B10" s="1">
        <v>600</v>
      </c>
      <c r="C10" s="2">
        <v>1</v>
      </c>
      <c r="D10" s="2">
        <v>1</v>
      </c>
      <c r="E10" s="2">
        <v>0</v>
      </c>
      <c r="F10" s="19">
        <v>0</v>
      </c>
      <c r="G10" s="20">
        <f t="shared" si="2"/>
        <v>0</v>
      </c>
      <c r="H10" s="22">
        <v>0</v>
      </c>
      <c r="I10" s="23">
        <f>(B10*0)</f>
        <v>0</v>
      </c>
      <c r="J10" s="25">
        <v>1</v>
      </c>
      <c r="K10" s="26">
        <f>B10</f>
        <v>600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">
      <c r="A11" s="2" t="s">
        <v>11</v>
      </c>
      <c r="B11" s="1">
        <v>70</v>
      </c>
      <c r="C11" s="2">
        <v>70</v>
      </c>
      <c r="D11" s="2">
        <v>55</v>
      </c>
      <c r="E11" s="2">
        <v>15</v>
      </c>
      <c r="F11" s="19">
        <f>(C11*G3)</f>
        <v>11.9</v>
      </c>
      <c r="G11" s="20">
        <f t="shared" si="2"/>
        <v>1883</v>
      </c>
      <c r="H11" s="22">
        <f>(C11+F11)*I3</f>
        <v>13.923000000000002</v>
      </c>
      <c r="I11" s="23">
        <f t="shared" si="0"/>
        <v>974.61000000000013</v>
      </c>
      <c r="J11" s="25">
        <f>((C11+F11+H11)*K3)+C11</f>
        <v>86.289910000000006</v>
      </c>
      <c r="K11" s="26">
        <f t="shared" si="1"/>
        <v>6040.2937000000002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s="2" customFormat="1" x14ac:dyDescent="0.2">
      <c r="B12" s="1"/>
      <c r="F12" s="19"/>
      <c r="G12" s="20"/>
      <c r="H12" s="22"/>
      <c r="I12" s="23"/>
      <c r="J12" s="25"/>
      <c r="K12" s="2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s="14" customFormat="1" x14ac:dyDescent="0.2">
      <c r="B13" s="1"/>
      <c r="C13" s="1"/>
      <c r="D13" s="1"/>
      <c r="E13" s="13"/>
      <c r="F13" s="42"/>
      <c r="G13" s="43"/>
      <c r="H13" s="49"/>
      <c r="I13" s="50"/>
      <c r="J13" s="52"/>
      <c r="K13" s="53"/>
      <c r="L13" s="1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">
      <c r="A14" s="16" t="s">
        <v>17</v>
      </c>
      <c r="C14" s="14"/>
      <c r="D14" s="14"/>
      <c r="E14" s="14"/>
      <c r="F14" s="44"/>
      <c r="G14" s="45"/>
      <c r="H14" s="22"/>
      <c r="I14" s="23"/>
      <c r="J14" s="25"/>
      <c r="K14" s="2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">
      <c r="A15" s="14" t="s">
        <v>38</v>
      </c>
      <c r="B15" s="1">
        <v>125</v>
      </c>
      <c r="C15" s="14">
        <v>70</v>
      </c>
      <c r="D15" s="14"/>
      <c r="F15" s="19">
        <f>(C15*G3)+C15</f>
        <v>81.900000000000006</v>
      </c>
      <c r="G15" s="45">
        <f>(B15*F15)*12</f>
        <v>122850</v>
      </c>
      <c r="H15" s="22">
        <f>(F15*I3)+F15</f>
        <v>95.823000000000008</v>
      </c>
      <c r="I15" s="23">
        <f>(B15*H15)*12</f>
        <v>143734.50000000003</v>
      </c>
      <c r="J15" s="25">
        <f>(H15*K3)+H15</f>
        <v>112.11291000000001</v>
      </c>
      <c r="K15" s="26">
        <f>(B15*J15)*12</f>
        <v>168169.36500000002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">
      <c r="A16" s="15"/>
      <c r="C16" s="15"/>
      <c r="D16" s="15"/>
      <c r="F16" s="44"/>
      <c r="G16" s="45"/>
      <c r="H16" s="22"/>
      <c r="I16" s="23"/>
      <c r="J16" s="25"/>
      <c r="K16" s="2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s="30" customFormat="1" ht="30" x14ac:dyDescent="0.2">
      <c r="A17" s="37" t="s">
        <v>30</v>
      </c>
      <c r="B17" s="38"/>
      <c r="C17" s="38"/>
      <c r="D17" s="38"/>
      <c r="E17" s="38"/>
      <c r="F17" s="44"/>
      <c r="G17" s="45"/>
      <c r="H17" s="22"/>
      <c r="I17" s="23"/>
      <c r="J17" s="25"/>
      <c r="K17" s="2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s="30" customFormat="1" x14ac:dyDescent="0.2">
      <c r="A18" s="38" t="s">
        <v>26</v>
      </c>
      <c r="B18" s="39"/>
      <c r="D18" s="38">
        <v>3</v>
      </c>
      <c r="E18" s="38"/>
      <c r="F18" s="44"/>
      <c r="G18" s="45">
        <v>7500</v>
      </c>
      <c r="H18" s="23"/>
      <c r="I18" s="23">
        <f>I3*G18</f>
        <v>1275</v>
      </c>
      <c r="J18" s="26"/>
      <c r="K18" s="54">
        <v>22500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s="30" customFormat="1" x14ac:dyDescent="0.2">
      <c r="A19" s="38" t="s">
        <v>27</v>
      </c>
      <c r="B19" s="39"/>
      <c r="D19" s="38">
        <v>1</v>
      </c>
      <c r="E19" s="38"/>
      <c r="F19" s="44"/>
      <c r="G19" s="45">
        <v>12000</v>
      </c>
      <c r="H19" s="23"/>
      <c r="I19" s="23">
        <f>I3*G19</f>
        <v>2040.0000000000002</v>
      </c>
      <c r="J19" s="26"/>
      <c r="K19" s="54">
        <v>12000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">
      <c r="A20" s="38" t="s">
        <v>28</v>
      </c>
      <c r="B20" s="39"/>
      <c r="D20" s="38">
        <v>1</v>
      </c>
      <c r="E20" s="38"/>
      <c r="F20" s="44"/>
      <c r="G20" s="45">
        <v>5000</v>
      </c>
      <c r="H20" s="23"/>
      <c r="I20" s="23">
        <f>I3*G20</f>
        <v>850.00000000000011</v>
      </c>
      <c r="J20" s="26"/>
      <c r="K20" s="54">
        <v>5000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">
      <c r="A21" s="38" t="s">
        <v>29</v>
      </c>
      <c r="B21" s="39"/>
      <c r="D21" s="38">
        <v>1</v>
      </c>
      <c r="E21" s="38"/>
      <c r="F21" s="44"/>
      <c r="G21" s="45">
        <v>5000</v>
      </c>
      <c r="H21" s="23"/>
      <c r="I21" s="23">
        <f>I3*G21</f>
        <v>850.00000000000011</v>
      </c>
      <c r="J21" s="26"/>
      <c r="K21" s="54">
        <v>5000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s="38" customFormat="1" x14ac:dyDescent="0.2">
      <c r="A22" s="38" t="s">
        <v>39</v>
      </c>
      <c r="B22" s="59">
        <v>1500</v>
      </c>
      <c r="D22" s="41"/>
      <c r="E22" s="40"/>
      <c r="F22" s="46"/>
      <c r="G22" s="62">
        <f>(B22*G3)+B22</f>
        <v>1755</v>
      </c>
      <c r="H22" s="22"/>
      <c r="I22" s="23">
        <f>(G22*I3)+G22</f>
        <v>2053.35</v>
      </c>
      <c r="J22" s="25"/>
      <c r="K22" s="55">
        <f>(I22*K3)+I22</f>
        <v>2402.4195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45" x14ac:dyDescent="0.2">
      <c r="A23" s="37" t="s">
        <v>21</v>
      </c>
      <c r="B23" s="31">
        <v>1000</v>
      </c>
      <c r="C23" s="30">
        <f>C15</f>
        <v>70</v>
      </c>
      <c r="D23" s="33"/>
      <c r="E23" s="34"/>
      <c r="F23" s="47">
        <f>(C15*20%)+(F15*G3)</f>
        <v>27.923000000000002</v>
      </c>
      <c r="G23" s="45">
        <f>(F23*B23)</f>
        <v>27923</v>
      </c>
      <c r="H23" s="22">
        <f>(F15*20%)+(F15*I3)</f>
        <v>30.303000000000004</v>
      </c>
      <c r="I23" s="23">
        <f>B23*H23</f>
        <v>30303.000000000004</v>
      </c>
      <c r="J23" s="25">
        <f>(H15*20%)+(H15*K3)</f>
        <v>35.454510000000006</v>
      </c>
      <c r="K23" s="26">
        <f>(B23*J23)</f>
        <v>35454.510000000009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C24" s="1"/>
      <c r="D24" s="1"/>
      <c r="E24" s="1"/>
      <c r="F24" s="48"/>
      <c r="G24" s="45"/>
      <c r="H24" s="22"/>
      <c r="I24" s="23"/>
      <c r="J24" s="25"/>
      <c r="K24" s="2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">
      <c r="A25" s="32" t="s">
        <v>23</v>
      </c>
      <c r="B25" s="11">
        <v>910</v>
      </c>
      <c r="C25" s="11"/>
      <c r="D25" s="11"/>
      <c r="E25" s="11"/>
      <c r="F25" s="45">
        <f>(B25*G3)+B25</f>
        <v>1064.7</v>
      </c>
      <c r="G25" s="45">
        <f>F25*12</f>
        <v>12776.400000000001</v>
      </c>
      <c r="H25" s="23">
        <f>((F25*G3)+F25)</f>
        <v>1245.6990000000001</v>
      </c>
      <c r="I25" s="23">
        <f>H25*12</f>
        <v>14948.388000000001</v>
      </c>
      <c r="J25" s="26">
        <f>(H25*K3)+H25</f>
        <v>1457.46783</v>
      </c>
      <c r="K25" s="26">
        <f>J25*12</f>
        <v>17489.613960000002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2">
      <c r="B26" s="11"/>
      <c r="C26" s="11"/>
      <c r="D26" s="11"/>
      <c r="E26" s="11"/>
      <c r="F26" s="45"/>
      <c r="G26" s="45"/>
      <c r="H26" s="23"/>
      <c r="I26" s="23"/>
      <c r="J26" s="26"/>
      <c r="K26" s="2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2">
      <c r="A27" s="32" t="s">
        <v>24</v>
      </c>
      <c r="B27" s="11">
        <v>1200</v>
      </c>
      <c r="C27" s="11"/>
      <c r="D27" s="11"/>
      <c r="E27" s="11"/>
      <c r="F27" s="45">
        <f>B27</f>
        <v>1200</v>
      </c>
      <c r="G27" s="45">
        <f>F27*12</f>
        <v>14400</v>
      </c>
      <c r="H27" s="23">
        <f>(F27*I3)+F27</f>
        <v>1404</v>
      </c>
      <c r="I27" s="23">
        <f>H27*12</f>
        <v>16848</v>
      </c>
      <c r="J27" s="55">
        <f>(H27*K3)+H27</f>
        <v>1642.68</v>
      </c>
      <c r="K27" s="26">
        <f>J27*12</f>
        <v>19712.16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">
      <c r="C28" s="1"/>
      <c r="D28" s="1"/>
      <c r="E28" s="1"/>
      <c r="F28" s="48"/>
      <c r="G28" s="45"/>
      <c r="H28" s="22"/>
      <c r="I28" s="23"/>
      <c r="J28" s="25"/>
      <c r="K28" s="2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">
      <c r="A29" s="32" t="s">
        <v>25</v>
      </c>
      <c r="B29" s="11">
        <v>430</v>
      </c>
      <c r="C29" s="11"/>
      <c r="D29" s="11"/>
      <c r="E29" s="11"/>
      <c r="F29" s="48">
        <f>(G3*B29)+B29</f>
        <v>503.1</v>
      </c>
      <c r="G29" s="45">
        <f>F29*12</f>
        <v>6037.2000000000007</v>
      </c>
      <c r="H29" s="51">
        <f>(I3*F29)+F29</f>
        <v>588.62700000000007</v>
      </c>
      <c r="I29" s="23">
        <f>H29*12</f>
        <v>7063.5240000000013</v>
      </c>
      <c r="J29" s="26">
        <f>(H29*K3)+H29</f>
        <v>688.69359000000009</v>
      </c>
      <c r="K29" s="55">
        <f>J29*12</f>
        <v>8264.3230800000019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2">
      <c r="C30" s="1"/>
      <c r="D30" s="1"/>
      <c r="E30" s="1"/>
      <c r="F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2">
      <c r="C31" s="1"/>
      <c r="D31" s="1"/>
      <c r="E31" s="1"/>
      <c r="F31" s="1" t="s">
        <v>15</v>
      </c>
      <c r="G31" s="12">
        <f>SUM(G5:G29)</f>
        <v>263844.09999999998</v>
      </c>
      <c r="I31" s="12">
        <f>SUM(I5:I29)</f>
        <v>235140.68700000006</v>
      </c>
      <c r="K31" s="12">
        <f>SUM(K5:K29)</f>
        <v>388280.25699000002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2">
      <c r="A32" s="63"/>
      <c r="B32" s="69">
        <v>2013</v>
      </c>
      <c r="C32" s="69">
        <v>2014</v>
      </c>
      <c r="D32" s="69">
        <v>2015</v>
      </c>
      <c r="E32" s="1"/>
      <c r="F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2">
      <c r="A33" s="63" t="s">
        <v>44</v>
      </c>
      <c r="B33" s="64">
        <f>G5+G6+G7+G8+G9+G10+G11+G22+G25+G27+G29</f>
        <v>83571.099999999991</v>
      </c>
      <c r="C33" s="64">
        <f>I5+I6+I7+I8+I9+I10+I11+I22+I25+I27+I29</f>
        <v>56088.187000000005</v>
      </c>
      <c r="D33" s="64">
        <f>K5+K6+K7+K8+K9+K10+K11+K22+K25+K27+K29</f>
        <v>140156.38198999999</v>
      </c>
      <c r="E33" s="1"/>
      <c r="F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2">
      <c r="A34" s="63" t="s">
        <v>43</v>
      </c>
      <c r="B34" s="65">
        <f>G18+G19+G20+G23</f>
        <v>52423</v>
      </c>
      <c r="C34" s="65">
        <f>I18+I19+I20+I23</f>
        <v>34468</v>
      </c>
      <c r="D34" s="65">
        <f>K18+K19+K20+K23</f>
        <v>74954.510000000009</v>
      </c>
      <c r="H34" s="28"/>
    </row>
    <row r="35" spans="1:23" x14ac:dyDescent="0.2">
      <c r="A35" s="63" t="s">
        <v>42</v>
      </c>
      <c r="B35" s="64">
        <f>G21+G15</f>
        <v>127850</v>
      </c>
      <c r="C35" s="65">
        <f>I21+I15</f>
        <v>144584.50000000003</v>
      </c>
      <c r="D35" s="65">
        <f>K21+K15</f>
        <v>173169.36500000002</v>
      </c>
    </row>
    <row r="36" spans="1:23" x14ac:dyDescent="0.2">
      <c r="A36" s="63"/>
      <c r="B36" s="64"/>
      <c r="C36" s="63"/>
      <c r="D36" s="63"/>
    </row>
    <row r="37" spans="1:23" x14ac:dyDescent="0.2">
      <c r="A37" s="63"/>
      <c r="B37" s="64">
        <f>B33+B34+B35</f>
        <v>263844.09999999998</v>
      </c>
      <c r="C37" s="64">
        <f t="shared" ref="C37:D37" si="3">C33+C34+C35</f>
        <v>235140.68700000003</v>
      </c>
      <c r="D37" s="64">
        <f t="shared" si="3"/>
        <v>388280.25699000002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zoomScale="90" zoomScaleNormal="90" workbookViewId="0">
      <selection activeCell="K4" sqref="K4"/>
    </sheetView>
  </sheetViews>
  <sheetFormatPr baseColWidth="10" defaultColWidth="8.83203125" defaultRowHeight="15" x14ac:dyDescent="0.2"/>
  <cols>
    <col min="1" max="1" width="42.1640625" style="38" bestFit="1" customWidth="1"/>
    <col min="2" max="2" width="13.6640625" style="1" bestFit="1" customWidth="1"/>
    <col min="3" max="3" width="20.83203125" style="38" bestFit="1" customWidth="1"/>
    <col min="4" max="4" width="12" style="38" bestFit="1" customWidth="1"/>
    <col min="5" max="5" width="17" style="38" customWidth="1"/>
    <col min="6" max="6" width="32" style="38" bestFit="1" customWidth="1"/>
    <col min="7" max="7" width="21.1640625" style="11" customWidth="1"/>
    <col min="8" max="8" width="29.6640625" style="10" customWidth="1"/>
    <col min="9" max="9" width="16.33203125" style="11" customWidth="1"/>
    <col min="10" max="10" width="29.6640625" style="10" customWidth="1"/>
    <col min="11" max="11" width="23.33203125" style="11" bestFit="1" customWidth="1"/>
    <col min="12" max="16384" width="8.83203125" style="38"/>
  </cols>
  <sheetData>
    <row r="1" spans="1:23" ht="31" x14ac:dyDescent="0.35">
      <c r="A1" s="56" t="s">
        <v>31</v>
      </c>
    </row>
    <row r="2" spans="1:23" x14ac:dyDescent="0.2">
      <c r="C2" s="1"/>
      <c r="D2" s="1"/>
      <c r="E2" s="1"/>
      <c r="F2" s="1"/>
      <c r="G2" s="1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">
      <c r="A3" s="32" t="s">
        <v>22</v>
      </c>
      <c r="B3" s="35"/>
      <c r="C3" s="1"/>
      <c r="D3" s="1"/>
      <c r="E3" s="1"/>
      <c r="F3" s="1"/>
      <c r="G3" s="36">
        <v>0.17</v>
      </c>
      <c r="I3" s="36">
        <v>0.17</v>
      </c>
      <c r="K3" s="36">
        <v>0.17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s="6" customFormat="1" ht="60" x14ac:dyDescent="0.2">
      <c r="A4" s="5" t="s">
        <v>6</v>
      </c>
      <c r="B4" s="8" t="s">
        <v>14</v>
      </c>
      <c r="C4" s="6" t="s">
        <v>13</v>
      </c>
      <c r="D4" s="6" t="s">
        <v>12</v>
      </c>
      <c r="E4" s="7" t="s">
        <v>32</v>
      </c>
      <c r="F4" s="17" t="s">
        <v>20</v>
      </c>
      <c r="G4" s="18" t="s">
        <v>2</v>
      </c>
      <c r="H4" s="27" t="s">
        <v>18</v>
      </c>
      <c r="I4" s="21" t="s">
        <v>3</v>
      </c>
      <c r="J4" s="29" t="s">
        <v>19</v>
      </c>
      <c r="K4" s="24" t="s">
        <v>4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x14ac:dyDescent="0.2">
      <c r="A5" s="38" t="s">
        <v>33</v>
      </c>
      <c r="B5" s="1">
        <v>99</v>
      </c>
      <c r="E5" s="57">
        <v>70</v>
      </c>
      <c r="F5" s="19">
        <f>(G3*E5)+E5</f>
        <v>81.900000000000006</v>
      </c>
      <c r="G5" s="20">
        <f>(B5*F5)*12</f>
        <v>97297.200000000012</v>
      </c>
      <c r="H5" s="22">
        <f>(F5*I3)+F5</f>
        <v>95.823000000000008</v>
      </c>
      <c r="I5" s="23">
        <f>(B5*H5)*12</f>
        <v>113837.72400000002</v>
      </c>
      <c r="J5" s="25">
        <f>(H5*K3)+H5</f>
        <v>112.11291000000001</v>
      </c>
      <c r="K5" s="26">
        <f>(B5*J5)*12</f>
        <v>133190.13708000001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">
      <c r="A6" s="38" t="s">
        <v>34</v>
      </c>
      <c r="B6" s="9">
        <v>350</v>
      </c>
      <c r="E6" s="57">
        <v>1</v>
      </c>
      <c r="F6" s="19"/>
      <c r="G6" s="20">
        <f>B6</f>
        <v>350</v>
      </c>
      <c r="H6" s="22"/>
      <c r="I6" s="23">
        <f>B6</f>
        <v>350</v>
      </c>
      <c r="J6" s="25"/>
      <c r="K6" s="26">
        <f>B6</f>
        <v>350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">
      <c r="F7" s="19"/>
      <c r="G7" s="20"/>
      <c r="H7" s="22"/>
      <c r="I7" s="23"/>
      <c r="J7" s="25"/>
      <c r="K7" s="2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">
      <c r="C8" s="1"/>
      <c r="D8" s="1"/>
      <c r="E8" s="13"/>
      <c r="F8" s="42"/>
      <c r="G8" s="43"/>
      <c r="H8" s="49"/>
      <c r="I8" s="50"/>
      <c r="J8" s="52"/>
      <c r="K8" s="53"/>
      <c r="L8" s="13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">
      <c r="A9" s="32" t="s">
        <v>17</v>
      </c>
      <c r="F9" s="44"/>
      <c r="G9" s="45"/>
      <c r="H9" s="22"/>
      <c r="I9" s="23"/>
      <c r="J9" s="25"/>
      <c r="K9" s="2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">
      <c r="A10" s="32" t="s">
        <v>40</v>
      </c>
      <c r="B10" s="1">
        <v>60</v>
      </c>
      <c r="E10" s="38">
        <v>10</v>
      </c>
      <c r="F10" s="19">
        <f>(E10*G3)+E10</f>
        <v>11.7</v>
      </c>
      <c r="G10" s="45">
        <f>(B10*F10)*12</f>
        <v>8424</v>
      </c>
      <c r="H10" s="22">
        <f>(F10*I3)+F10</f>
        <v>13.689</v>
      </c>
      <c r="I10" s="23">
        <f>(B10*H10)*12</f>
        <v>9856.08</v>
      </c>
      <c r="J10" s="25">
        <f>(H10*K3)+H10</f>
        <v>16.01613</v>
      </c>
      <c r="K10" s="26">
        <f>(B10*J10)*12</f>
        <v>11531.613600000001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">
      <c r="A11" s="31"/>
      <c r="C11" s="31"/>
      <c r="D11" s="31"/>
      <c r="F11" s="44"/>
      <c r="G11" s="45"/>
      <c r="H11" s="22"/>
      <c r="I11" s="23"/>
      <c r="J11" s="25"/>
      <c r="K11" s="2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">
      <c r="A12" s="32" t="s">
        <v>37</v>
      </c>
      <c r="B12" s="59">
        <v>5000</v>
      </c>
      <c r="F12" s="44"/>
      <c r="G12" s="45">
        <f>B12</f>
        <v>5000</v>
      </c>
      <c r="H12" s="23"/>
      <c r="I12" s="23"/>
      <c r="J12" s="26"/>
      <c r="K12" s="5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">
      <c r="B13" s="38"/>
      <c r="D13" s="41"/>
      <c r="E13" s="40"/>
      <c r="F13" s="46"/>
      <c r="G13" s="44"/>
      <c r="H13" s="22"/>
      <c r="I13" s="23"/>
      <c r="J13" s="25"/>
      <c r="K13" s="2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51.75" customHeight="1" x14ac:dyDescent="0.2">
      <c r="A14" s="37" t="s">
        <v>21</v>
      </c>
      <c r="B14" s="31">
        <v>610</v>
      </c>
      <c r="D14" s="41"/>
      <c r="E14" s="61">
        <v>20</v>
      </c>
      <c r="F14" s="47">
        <f>(E14*G3)+E14</f>
        <v>23.4</v>
      </c>
      <c r="G14" s="45">
        <f>(F14*B14)</f>
        <v>14274</v>
      </c>
      <c r="H14" s="22">
        <f>(F14*I3)+F14</f>
        <v>27.378</v>
      </c>
      <c r="I14" s="23">
        <f>B14*H14</f>
        <v>16700.580000000002</v>
      </c>
      <c r="J14" s="25">
        <f>(H14*K3)+H14</f>
        <v>32.032260000000001</v>
      </c>
      <c r="K14" s="26">
        <f>(B14*J14)</f>
        <v>19539.678599999999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">
      <c r="A15" s="37"/>
      <c r="B15" s="31"/>
      <c r="D15" s="41"/>
      <c r="E15" s="34"/>
      <c r="F15" s="47"/>
      <c r="G15" s="45"/>
      <c r="H15" s="22"/>
      <c r="I15" s="23"/>
      <c r="J15" s="25"/>
      <c r="K15" s="2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">
      <c r="A16" s="37" t="s">
        <v>35</v>
      </c>
      <c r="B16" s="31">
        <v>1500</v>
      </c>
      <c r="D16" s="41"/>
      <c r="E16" s="34"/>
      <c r="F16" s="47"/>
      <c r="G16" s="45">
        <f>B16</f>
        <v>1500</v>
      </c>
      <c r="H16" s="22"/>
      <c r="I16" s="23">
        <f>(G16*I3)+G16</f>
        <v>1755</v>
      </c>
      <c r="J16" s="25"/>
      <c r="K16" s="55">
        <f>(I16*K3)+I16</f>
        <v>2053.35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">
      <c r="C17" s="1"/>
      <c r="D17" s="1"/>
      <c r="E17" s="1"/>
      <c r="F17" s="48"/>
      <c r="G17" s="45"/>
      <c r="H17" s="22"/>
      <c r="I17" s="23"/>
      <c r="J17" s="25"/>
      <c r="K17" s="2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">
      <c r="C18" s="1"/>
      <c r="D18" s="1"/>
      <c r="E18" s="1"/>
      <c r="F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">
      <c r="C19" s="1"/>
      <c r="D19" s="1"/>
      <c r="E19" s="1"/>
      <c r="F19" s="1" t="s">
        <v>15</v>
      </c>
      <c r="G19" s="12">
        <f>SUM(G5:G17)</f>
        <v>126845.20000000001</v>
      </c>
      <c r="I19" s="12">
        <f>SUM(I5:I17)</f>
        <v>142499.38400000002</v>
      </c>
      <c r="K19" s="12">
        <f>SUM(K5:K17)</f>
        <v>166664.77928000005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">
      <c r="A20" s="71"/>
      <c r="B20" s="72">
        <v>2013</v>
      </c>
      <c r="C20" s="72">
        <v>2014</v>
      </c>
      <c r="D20" s="72">
        <v>2015</v>
      </c>
      <c r="E20" s="1"/>
      <c r="F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">
      <c r="A21" s="71" t="s">
        <v>44</v>
      </c>
      <c r="B21" s="73">
        <f>G5+G6+G16</f>
        <v>99147.200000000012</v>
      </c>
      <c r="C21" s="73">
        <f>I5+I6+I16</f>
        <v>115942.72400000002</v>
      </c>
      <c r="D21" s="74">
        <f>K5+K6+K16</f>
        <v>135593.48708000002</v>
      </c>
      <c r="E21" s="1"/>
      <c r="F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">
      <c r="A22" s="71" t="s">
        <v>43</v>
      </c>
      <c r="B22" s="73">
        <f>G14</f>
        <v>14274</v>
      </c>
      <c r="C22" s="73">
        <f>I14</f>
        <v>16700.580000000002</v>
      </c>
      <c r="D22" s="73">
        <f>K14</f>
        <v>19539.678599999999</v>
      </c>
      <c r="H22" s="28"/>
    </row>
    <row r="23" spans="1:23" x14ac:dyDescent="0.2">
      <c r="A23" s="71" t="s">
        <v>42</v>
      </c>
      <c r="B23" s="74">
        <f>G10+G12</f>
        <v>13424</v>
      </c>
      <c r="C23" s="73">
        <f>I10</f>
        <v>9856.08</v>
      </c>
      <c r="D23" s="73">
        <f>K10</f>
        <v>11531.613600000001</v>
      </c>
    </row>
    <row r="24" spans="1:23" x14ac:dyDescent="0.2">
      <c r="A24" s="71"/>
      <c r="B24" s="74"/>
      <c r="C24" s="71"/>
      <c r="D24" s="71"/>
    </row>
    <row r="25" spans="1:23" x14ac:dyDescent="0.2">
      <c r="A25" s="71" t="s">
        <v>15</v>
      </c>
      <c r="B25" s="74">
        <f>B21+B22+B23</f>
        <v>126845.20000000001</v>
      </c>
      <c r="C25" s="74">
        <f t="shared" ref="C25:D25" si="0">C21+C22+C23</f>
        <v>142499.38399999999</v>
      </c>
      <c r="D25" s="74">
        <f t="shared" si="0"/>
        <v>166664.77928000005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11" workbookViewId="0">
      <selection activeCell="A29" sqref="A29:D33"/>
    </sheetView>
  </sheetViews>
  <sheetFormatPr baseColWidth="10" defaultColWidth="8.83203125" defaultRowHeight="15" x14ac:dyDescent="0.2"/>
  <cols>
    <col min="1" max="1" width="42.5" style="58" customWidth="1"/>
    <col min="2" max="2" width="12.6640625" bestFit="1" customWidth="1"/>
    <col min="3" max="3" width="11.83203125" bestFit="1" customWidth="1"/>
    <col min="4" max="4" width="11.1640625" bestFit="1" customWidth="1"/>
    <col min="5" max="5" width="8.83203125" style="38"/>
    <col min="6" max="6" width="49.33203125" customWidth="1"/>
    <col min="7" max="7" width="13.83203125" customWidth="1"/>
    <col min="8" max="8" width="21.6640625" bestFit="1" customWidth="1"/>
    <col min="9" max="9" width="13.33203125" bestFit="1" customWidth="1"/>
    <col min="10" max="11" width="12.6640625" bestFit="1" customWidth="1"/>
    <col min="12" max="12" width="12.5" bestFit="1" customWidth="1"/>
  </cols>
  <sheetData>
    <row r="1" spans="1:7" ht="19" x14ac:dyDescent="0.25">
      <c r="A1" s="66" t="s">
        <v>31</v>
      </c>
      <c r="F1" s="67" t="s">
        <v>36</v>
      </c>
    </row>
    <row r="3" spans="1:7" x14ac:dyDescent="0.2">
      <c r="A3" s="68" t="str">
        <f>Virsage!A5</f>
        <v>Virsage WorkPlace License</v>
      </c>
      <c r="B3" s="59">
        <f>Virsage!G5</f>
        <v>97297.200000000012</v>
      </c>
      <c r="F3" s="58" t="str">
        <f>PacketDriver!A6</f>
        <v>Windows Cals</v>
      </c>
      <c r="G3" s="60">
        <f>PacketDriver!G6</f>
        <v>807</v>
      </c>
    </row>
    <row r="4" spans="1:7" x14ac:dyDescent="0.2">
      <c r="A4" s="68" t="str">
        <f>Virsage!A6</f>
        <v>Customer Server for Hawksoft</v>
      </c>
      <c r="B4" s="59">
        <f>Virsage!G6</f>
        <v>350</v>
      </c>
      <c r="F4" s="58" t="str">
        <f>PacketDriver!A7</f>
        <v>Remote Desktop</v>
      </c>
      <c r="G4" s="60">
        <f>PacketDriver!G7</f>
        <v>2392.5</v>
      </c>
    </row>
    <row r="5" spans="1:7" x14ac:dyDescent="0.2">
      <c r="A5" s="68" t="str">
        <f>Virsage!A10</f>
        <v>Labor with Barrister</v>
      </c>
      <c r="B5" s="59">
        <f>Virsage!G10</f>
        <v>8424</v>
      </c>
      <c r="F5" s="58" t="str">
        <f>PacketDriver!A8</f>
        <v>Microsoft Office</v>
      </c>
      <c r="G5" s="60">
        <f>PacketDriver!G8</f>
        <v>10760</v>
      </c>
    </row>
    <row r="6" spans="1:7" x14ac:dyDescent="0.2">
      <c r="A6" s="68" t="str">
        <f>Virsage!A12</f>
        <v>Labor Setup of system transition</v>
      </c>
      <c r="B6" s="59">
        <f>Virsage!G12</f>
        <v>5000</v>
      </c>
      <c r="F6" s="58" t="str">
        <f>PacketDriver!A9</f>
        <v>Citrix</v>
      </c>
      <c r="G6" s="60">
        <f>PacketDriver!G9</f>
        <v>32760.000000000004</v>
      </c>
    </row>
    <row r="7" spans="1:7" x14ac:dyDescent="0.2">
      <c r="A7" s="68" t="str">
        <f>Virsage!A16</f>
        <v>Sonicwalls</v>
      </c>
      <c r="B7" s="59">
        <f>Virsage!G16</f>
        <v>1500</v>
      </c>
      <c r="F7" s="58" t="str">
        <f>PacketDriver!A11</f>
        <v>Exchange Cal</v>
      </c>
      <c r="G7" s="60">
        <f>PacketDriver!G11</f>
        <v>1883</v>
      </c>
    </row>
    <row r="8" spans="1:7" ht="45" x14ac:dyDescent="0.2">
      <c r="A8" s="68" t="str">
        <f>Virsage!A14</f>
        <v>Replace Computers with Thin Clients, One Monitor (20% of PC's Replaced Yearly with additonal 17% Growth)</v>
      </c>
      <c r="B8" s="59">
        <f>Virsage!G14</f>
        <v>14274</v>
      </c>
      <c r="F8" s="58" t="str">
        <f>PacketDriver!A15</f>
        <v>Labor Flat rate of Per User Per Month</v>
      </c>
      <c r="G8" s="60">
        <f>PacketDriver!G15</f>
        <v>122850</v>
      </c>
    </row>
    <row r="9" spans="1:7" x14ac:dyDescent="0.2">
      <c r="F9" s="58" t="str">
        <f>PacketDriver!A18</f>
        <v>Hardware Servers</v>
      </c>
      <c r="G9" s="60">
        <f>PacketDriver!G18</f>
        <v>7500</v>
      </c>
    </row>
    <row r="10" spans="1:7" x14ac:dyDescent="0.2">
      <c r="A10" s="58" t="s">
        <v>15</v>
      </c>
      <c r="B10" s="59">
        <f>Virsage!G19</f>
        <v>126845.20000000001</v>
      </c>
      <c r="F10" s="58" t="str">
        <f>PacketDriver!A19</f>
        <v>Storage</v>
      </c>
      <c r="G10" s="60">
        <f>PacketDriver!G19</f>
        <v>12000</v>
      </c>
    </row>
    <row r="11" spans="1:7" x14ac:dyDescent="0.2">
      <c r="F11" s="58" t="str">
        <f>PacketDriver!A20</f>
        <v>Misc</v>
      </c>
      <c r="G11" s="60">
        <f>PacketDriver!G20</f>
        <v>5000</v>
      </c>
    </row>
    <row r="12" spans="1:7" x14ac:dyDescent="0.2">
      <c r="B12" s="59"/>
      <c r="F12" s="58" t="str">
        <f>PacketDriver!A21</f>
        <v>Labor Setup</v>
      </c>
      <c r="G12" s="60">
        <f>PacketDriver!G21</f>
        <v>5000</v>
      </c>
    </row>
    <row r="13" spans="1:7" ht="30" x14ac:dyDescent="0.2">
      <c r="F13" s="58" t="str">
        <f>PacketDriver!A23</f>
        <v>Replace Computers with Thin Clients, One Monitor (20% of PC's Replaced Yearly with additonal 17% Growth)</v>
      </c>
      <c r="G13" s="60">
        <f>PacketDriver!G23</f>
        <v>27923</v>
      </c>
    </row>
    <row r="14" spans="1:7" x14ac:dyDescent="0.2">
      <c r="B14" s="59"/>
      <c r="F14" s="58" t="str">
        <f>PacketDriver!A22</f>
        <v>SonicWall's Licenses</v>
      </c>
      <c r="G14" s="60">
        <f>PacketDriver!G22</f>
        <v>1755</v>
      </c>
    </row>
    <row r="15" spans="1:7" x14ac:dyDescent="0.2">
      <c r="F15" s="58" t="str">
        <f>PacketDriver!A25</f>
        <v>CoLo Hosting (Monthly)</v>
      </c>
      <c r="G15" s="60">
        <f>PacketDriver!G25</f>
        <v>12776.400000000001</v>
      </c>
    </row>
    <row r="16" spans="1:7" x14ac:dyDescent="0.2">
      <c r="B16" s="59"/>
      <c r="F16" s="58" t="str">
        <f>PacketDriver!A27</f>
        <v>Amazon EC2 Cloud Cost (Monthly)</v>
      </c>
      <c r="G16" s="60">
        <f>PacketDriver!G27</f>
        <v>14400</v>
      </c>
    </row>
    <row r="17" spans="1:9" x14ac:dyDescent="0.2">
      <c r="B17" s="59"/>
      <c r="F17" s="58" t="str">
        <f>PacketDriver!A29</f>
        <v>Misc E-mail filtering and backups (Monthly)</v>
      </c>
      <c r="G17" s="60">
        <f>PacketDriver!G29</f>
        <v>6037.2000000000007</v>
      </c>
    </row>
    <row r="19" spans="1:9" x14ac:dyDescent="0.2">
      <c r="F19" s="58" t="s">
        <v>15</v>
      </c>
      <c r="G19" s="60">
        <f>PacketDriver!G31</f>
        <v>263844.09999999998</v>
      </c>
    </row>
    <row r="21" spans="1:9" ht="19" x14ac:dyDescent="0.25">
      <c r="A21" s="66" t="s">
        <v>31</v>
      </c>
      <c r="F21" s="66" t="s">
        <v>36</v>
      </c>
      <c r="G21" s="60"/>
    </row>
    <row r="22" spans="1:9" x14ac:dyDescent="0.2">
      <c r="B22">
        <f>Virsage!B20</f>
        <v>2013</v>
      </c>
      <c r="C22">
        <f>Virsage!C20</f>
        <v>2014</v>
      </c>
      <c r="D22">
        <f>Virsage!D20</f>
        <v>2015</v>
      </c>
      <c r="G22">
        <f>PacketDriver!B32</f>
        <v>2013</v>
      </c>
      <c r="H22">
        <f>PacketDriver!C32</f>
        <v>2014</v>
      </c>
      <c r="I22">
        <f>PacketDriver!D32</f>
        <v>2015</v>
      </c>
    </row>
    <row r="23" spans="1:9" x14ac:dyDescent="0.2">
      <c r="A23" s="58" t="str">
        <f>Virsage!A21</f>
        <v>Software/License</v>
      </c>
      <c r="B23" s="1">
        <f>Virsage!B21</f>
        <v>99147.200000000012</v>
      </c>
      <c r="C23" s="1">
        <f>Virsage!C21</f>
        <v>115942.72400000002</v>
      </c>
      <c r="D23" s="1">
        <f>Virsage!D21</f>
        <v>135593.48708000002</v>
      </c>
      <c r="F23" t="str">
        <f>PacketDriver!A33</f>
        <v>Software/License</v>
      </c>
      <c r="G23" s="59">
        <f>PacketDriver!B33</f>
        <v>83571.099999999991</v>
      </c>
      <c r="H23" s="59">
        <f>PacketDriver!C33</f>
        <v>56088.187000000005</v>
      </c>
      <c r="I23" s="59">
        <f>PacketDriver!D33</f>
        <v>140156.38198999999</v>
      </c>
    </row>
    <row r="24" spans="1:9" x14ac:dyDescent="0.2">
      <c r="A24" s="58" t="str">
        <f>Virsage!A22</f>
        <v>Hardware</v>
      </c>
      <c r="B24" s="1">
        <f>Virsage!B22</f>
        <v>14274</v>
      </c>
      <c r="C24" s="1">
        <f>Virsage!C22</f>
        <v>16700.580000000002</v>
      </c>
      <c r="D24" s="1">
        <f>Virsage!D22</f>
        <v>19539.678599999999</v>
      </c>
      <c r="F24" t="str">
        <f>PacketDriver!A34</f>
        <v>Hardware</v>
      </c>
      <c r="G24" s="59">
        <f>PacketDriver!B34</f>
        <v>52423</v>
      </c>
      <c r="H24" s="59">
        <f>PacketDriver!C34</f>
        <v>34468</v>
      </c>
      <c r="I24" s="59">
        <f>PacketDriver!D34</f>
        <v>74954.510000000009</v>
      </c>
    </row>
    <row r="25" spans="1:9" x14ac:dyDescent="0.2">
      <c r="A25" s="58" t="str">
        <f>Virsage!A23</f>
        <v>Labor</v>
      </c>
      <c r="B25" s="1">
        <f>Virsage!B23</f>
        <v>13424</v>
      </c>
      <c r="C25" s="1">
        <f>Virsage!C23</f>
        <v>9856.08</v>
      </c>
      <c r="D25" s="1">
        <f>Virsage!D23</f>
        <v>11531.613600000001</v>
      </c>
      <c r="F25" t="str">
        <f>PacketDriver!A35</f>
        <v>Labor</v>
      </c>
      <c r="G25" s="59">
        <f>PacketDriver!B35</f>
        <v>127850</v>
      </c>
      <c r="H25" s="59">
        <f>PacketDriver!C35</f>
        <v>144584.50000000003</v>
      </c>
      <c r="I25" s="59">
        <f>PacketDriver!D35</f>
        <v>173169.36500000002</v>
      </c>
    </row>
    <row r="26" spans="1:9" x14ac:dyDescent="0.2">
      <c r="B26" s="1"/>
      <c r="C26" s="1"/>
      <c r="D26" s="1"/>
      <c r="G26" s="59"/>
      <c r="H26" s="59"/>
      <c r="I26" s="59"/>
    </row>
    <row r="27" spans="1:9" x14ac:dyDescent="0.2">
      <c r="A27" s="37" t="s">
        <v>31</v>
      </c>
      <c r="B27" s="1">
        <f>B23+B24+B25</f>
        <v>126845.20000000001</v>
      </c>
      <c r="C27" s="1">
        <f t="shared" ref="C27:D27" si="0">C23+C24+C25</f>
        <v>142499.38399999999</v>
      </c>
      <c r="D27" s="1">
        <f t="shared" si="0"/>
        <v>166664.77928000005</v>
      </c>
      <c r="F27" s="37" t="s">
        <v>36</v>
      </c>
      <c r="G27" s="60">
        <f>G23+G24+G25</f>
        <v>263844.09999999998</v>
      </c>
      <c r="H27" s="60">
        <f t="shared" ref="H27:I27" si="1">H23+H24+H25</f>
        <v>235140.68700000003</v>
      </c>
      <c r="I27" s="60">
        <f t="shared" si="1"/>
        <v>388280.25699000002</v>
      </c>
    </row>
    <row r="28" spans="1:9" x14ac:dyDescent="0.2">
      <c r="F28" s="58"/>
      <c r="G28" s="60"/>
    </row>
    <row r="29" spans="1:9" x14ac:dyDescent="0.2">
      <c r="A29" s="63"/>
      <c r="B29" s="63">
        <v>2013</v>
      </c>
      <c r="C29" s="63">
        <v>2014</v>
      </c>
      <c r="D29" s="63">
        <v>2015</v>
      </c>
    </row>
    <row r="30" spans="1:9" x14ac:dyDescent="0.2">
      <c r="A30" s="63" t="str">
        <f>F27</f>
        <v>PacketDrivers</v>
      </c>
      <c r="B30" s="70">
        <f>G27</f>
        <v>263844.09999999998</v>
      </c>
      <c r="C30" s="70">
        <f>H27</f>
        <v>235140.68700000003</v>
      </c>
      <c r="D30" s="70">
        <f>I27</f>
        <v>388280.25699000002</v>
      </c>
    </row>
    <row r="31" spans="1:9" x14ac:dyDescent="0.2">
      <c r="A31" s="63" t="str">
        <f>A27</f>
        <v>Virsage</v>
      </c>
      <c r="B31" s="70">
        <f>B27</f>
        <v>126845.20000000001</v>
      </c>
      <c r="C31" s="70">
        <f>C27</f>
        <v>142499.38399999999</v>
      </c>
      <c r="D31" s="70">
        <f>D27</f>
        <v>166664.77928000005</v>
      </c>
    </row>
    <row r="32" spans="1:9" x14ac:dyDescent="0.2">
      <c r="A32" s="63"/>
      <c r="B32" s="70"/>
      <c r="C32" s="70"/>
      <c r="D32" s="70"/>
    </row>
    <row r="33" spans="1:4" x14ac:dyDescent="0.2">
      <c r="A33" s="63" t="s">
        <v>41</v>
      </c>
      <c r="B33" s="70">
        <f>B30-B31</f>
        <v>136998.89999999997</v>
      </c>
      <c r="C33" s="70">
        <f t="shared" ref="C33:D33" si="2">C30-C31</f>
        <v>92641.303000000044</v>
      </c>
      <c r="D33" s="70">
        <f t="shared" si="2"/>
        <v>221615.47770999998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20" sqref="Q20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PacketDriver</vt:lpstr>
      <vt:lpstr>Virsage</vt:lpstr>
      <vt:lpstr>Comparison</vt:lpstr>
      <vt:lpstr>Chart's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Slade</dc:creator>
  <cp:lastModifiedBy>Microsoft Office User</cp:lastModifiedBy>
  <dcterms:created xsi:type="dcterms:W3CDTF">2012-11-17T00:58:47Z</dcterms:created>
  <dcterms:modified xsi:type="dcterms:W3CDTF">2017-09-11T21:22:47Z</dcterms:modified>
</cp:coreProperties>
</file>