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madouKEBE\PycharmProjects\metastaaq_webapp\data\"/>
    </mc:Choice>
  </mc:AlternateContent>
  <xr:revisionPtr revIDLastSave="0" documentId="13_ncr:1_{42C06518-3F9F-4B10-8486-20E1490DE99F}" xr6:coauthVersionLast="47" xr6:coauthVersionMax="47" xr10:uidLastSave="{00000000-0000-0000-0000-000000000000}"/>
  <bookViews>
    <workbookView xWindow="-108" yWindow="-108" windowWidth="23256" windowHeight="14616" xr2:uid="{6FEA1B64-225F-4F6F-A909-71F6752DA6A6}"/>
  </bookViews>
  <sheets>
    <sheet name="LCOH" sheetId="3" r:id="rId1"/>
    <sheet name="REVENUS" sheetId="12" r:id="rId2"/>
    <sheet name="SITE" sheetId="9" r:id="rId3"/>
    <sheet name="PROD H2" sheetId="2" r:id="rId4"/>
    <sheet name="METHANATION" sheetId="4" r:id="rId5"/>
    <sheet name="APPRO CO2 - RECUP BIOGAZ" sheetId="5" r:id="rId6"/>
    <sheet name="MASS BALANCE" sheetId="1" r:id="rId7"/>
    <sheet name="Feuil11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3" l="1"/>
  <c r="B32" i="3"/>
  <c r="L31" i="1"/>
  <c r="F22" i="1"/>
  <c r="F23" i="1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C32" i="12"/>
  <c r="D32" i="12" s="1"/>
  <c r="C15" i="12"/>
  <c r="C14" i="12"/>
  <c r="D14" i="12" s="1"/>
  <c r="O23" i="12"/>
  <c r="C13" i="12"/>
  <c r="D13" i="12" s="1"/>
  <c r="E13" i="12" s="1"/>
  <c r="F13" i="12" s="1"/>
  <c r="G13" i="12" s="1"/>
  <c r="H13" i="12" s="1"/>
  <c r="I13" i="12" s="1"/>
  <c r="J13" i="12" s="1"/>
  <c r="K13" i="12" s="1"/>
  <c r="L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O20" i="12"/>
  <c r="O21" i="12" s="1"/>
  <c r="N33" i="12" l="1"/>
  <c r="E32" i="12"/>
  <c r="D15" i="12"/>
  <c r="E15" i="12" s="1"/>
  <c r="E14" i="12"/>
  <c r="Z13" i="12"/>
  <c r="N13" i="12"/>
  <c r="P23" i="12"/>
  <c r="Q23" i="12" s="1"/>
  <c r="R23" i="12" s="1"/>
  <c r="S23" i="12" s="1"/>
  <c r="T23" i="12" s="1"/>
  <c r="U23" i="12" s="1"/>
  <c r="V23" i="12" s="1"/>
  <c r="W23" i="12" s="1"/>
  <c r="X23" i="12" s="1"/>
  <c r="C20" i="12"/>
  <c r="C21" i="12" s="1"/>
  <c r="F32" i="12" l="1"/>
  <c r="F15" i="12"/>
  <c r="F14" i="12"/>
  <c r="Y23" i="12"/>
  <c r="G32" i="12" l="1"/>
  <c r="G15" i="12"/>
  <c r="G14" i="12"/>
  <c r="U24" i="12"/>
  <c r="V24" i="12"/>
  <c r="W24" i="12"/>
  <c r="O24" i="12"/>
  <c r="S24" i="12"/>
  <c r="T24" i="12"/>
  <c r="P24" i="12"/>
  <c r="X24" i="12"/>
  <c r="Q24" i="12"/>
  <c r="R24" i="12"/>
  <c r="H32" i="12" l="1"/>
  <c r="H15" i="12"/>
  <c r="H14" i="12"/>
  <c r="Y24" i="12"/>
  <c r="I32" i="12" l="1"/>
  <c r="I15" i="12"/>
  <c r="I14" i="12"/>
  <c r="J32" i="12" l="1"/>
  <c r="J15" i="12"/>
  <c r="J14" i="12"/>
  <c r="K32" i="12" l="1"/>
  <c r="K15" i="12"/>
  <c r="K14" i="12"/>
  <c r="L32" i="12" l="1"/>
  <c r="N32" i="12"/>
  <c r="L15" i="12"/>
  <c r="L14" i="12"/>
  <c r="O32" i="12" l="1"/>
  <c r="O15" i="12"/>
  <c r="N15" i="12"/>
  <c r="O14" i="12"/>
  <c r="N14" i="12"/>
  <c r="P32" i="12" l="1"/>
  <c r="P15" i="12"/>
  <c r="P14" i="12"/>
  <c r="Q32" i="12" l="1"/>
  <c r="Q15" i="12"/>
  <c r="Q14" i="12"/>
  <c r="R32" i="12" l="1"/>
  <c r="R15" i="12"/>
  <c r="R14" i="12"/>
  <c r="S32" i="12" l="1"/>
  <c r="S15" i="12"/>
  <c r="S14" i="12"/>
  <c r="T32" i="12" l="1"/>
  <c r="T15" i="12"/>
  <c r="T14" i="12"/>
  <c r="U32" i="12" l="1"/>
  <c r="U15" i="12"/>
  <c r="U14" i="12"/>
  <c r="V32" i="12" l="1"/>
  <c r="V15" i="12"/>
  <c r="V14" i="12"/>
  <c r="W32" i="12" l="1"/>
  <c r="W15" i="12"/>
  <c r="W14" i="12"/>
  <c r="X32" i="12" l="1"/>
  <c r="X15" i="12"/>
  <c r="X14" i="12"/>
  <c r="Z32" i="12" l="1"/>
  <c r="AB32" i="12" s="1"/>
  <c r="Z15" i="12"/>
  <c r="AB15" i="12" s="1"/>
  <c r="Z14" i="12"/>
  <c r="AB14" i="12" s="1"/>
  <c r="C18" i="12" l="1"/>
  <c r="O18" i="12" s="1"/>
  <c r="O22" i="12" l="1"/>
  <c r="C22" i="12"/>
  <c r="D31" i="1"/>
  <c r="F31" i="1"/>
  <c r="F19" i="5"/>
  <c r="C15" i="9"/>
  <c r="C14" i="9"/>
  <c r="C13" i="9"/>
  <c r="C12" i="9"/>
  <c r="C6" i="9"/>
  <c r="C5" i="9"/>
  <c r="C4" i="9"/>
  <c r="C3" i="9"/>
  <c r="C2" i="9"/>
  <c r="F18" i="2"/>
  <c r="C16" i="5"/>
  <c r="C15" i="5"/>
  <c r="C14" i="5"/>
  <c r="C13" i="5"/>
  <c r="C12" i="5"/>
  <c r="C11" i="5"/>
  <c r="B8" i="5"/>
  <c r="C7" i="5"/>
  <c r="C6" i="5"/>
  <c r="C5" i="5"/>
  <c r="C4" i="5"/>
  <c r="C3" i="5"/>
  <c r="C2" i="5"/>
  <c r="P22" i="12" l="1"/>
  <c r="Q22" i="12" s="1"/>
  <c r="R22" i="12" s="1"/>
  <c r="S22" i="12" s="1"/>
  <c r="T22" i="12" s="1"/>
  <c r="U22" i="12" s="1"/>
  <c r="V22" i="12" s="1"/>
  <c r="W22" i="12" s="1"/>
  <c r="X22" i="12" s="1"/>
  <c r="D22" i="12"/>
  <c r="K2" i="5"/>
  <c r="B45" i="3" s="1"/>
  <c r="B39" i="5"/>
  <c r="B8" i="9"/>
  <c r="C16" i="9"/>
  <c r="C7" i="9"/>
  <c r="C17" i="5"/>
  <c r="B41" i="5" s="1"/>
  <c r="B6" i="4"/>
  <c r="Z22" i="12" l="1"/>
  <c r="E22" i="12"/>
  <c r="C11" i="9"/>
  <c r="F3" i="9"/>
  <c r="C17" i="9"/>
  <c r="F5" i="9" s="1"/>
  <c r="B17" i="5"/>
  <c r="K4" i="5"/>
  <c r="B56" i="3" s="1"/>
  <c r="D17" i="1"/>
  <c r="C31" i="1" s="1"/>
  <c r="B17" i="1"/>
  <c r="E31" i="1" s="1"/>
  <c r="H17" i="1"/>
  <c r="B31" i="1" s="1"/>
  <c r="F44" i="4"/>
  <c r="F37" i="4"/>
  <c r="F25" i="4"/>
  <c r="H19" i="1"/>
  <c r="F23" i="2"/>
  <c r="F5" i="1"/>
  <c r="H5" i="1"/>
  <c r="C15" i="4"/>
  <c r="C14" i="4"/>
  <c r="C13" i="4"/>
  <c r="C12" i="4"/>
  <c r="C11" i="4"/>
  <c r="C6" i="4"/>
  <c r="C5" i="4"/>
  <c r="C4" i="4"/>
  <c r="C3" i="4"/>
  <c r="C2" i="4"/>
  <c r="F22" i="2" l="1"/>
  <c r="O17" i="12"/>
  <c r="C17" i="12"/>
  <c r="F22" i="12"/>
  <c r="B42" i="3"/>
  <c r="B53" i="3"/>
  <c r="B17" i="9"/>
  <c r="D19" i="1"/>
  <c r="F25" i="2"/>
  <c r="C16" i="4"/>
  <c r="C17" i="4" s="1"/>
  <c r="L4" i="4" s="1"/>
  <c r="B8" i="4"/>
  <c r="L2" i="4" s="1"/>
  <c r="C7" i="4"/>
  <c r="F30" i="2"/>
  <c r="C2" i="2"/>
  <c r="F34" i="2"/>
  <c r="E5" i="3"/>
  <c r="C12" i="2"/>
  <c r="C13" i="2"/>
  <c r="C14" i="2"/>
  <c r="C15" i="2"/>
  <c r="C11" i="2"/>
  <c r="C3" i="2"/>
  <c r="C4" i="2"/>
  <c r="C5" i="2"/>
  <c r="C6" i="2"/>
  <c r="F19" i="2"/>
  <c r="B22" i="2" l="1"/>
  <c r="P19" i="12"/>
  <c r="D19" i="12"/>
  <c r="G22" i="12"/>
  <c r="B44" i="3"/>
  <c r="B55" i="3"/>
  <c r="B23" i="4"/>
  <c r="B20" i="9"/>
  <c r="B23" i="2"/>
  <c r="B24" i="4"/>
  <c r="E3" i="3"/>
  <c r="F29" i="2" s="1"/>
  <c r="B7" i="2" s="1"/>
  <c r="C16" i="2" s="1"/>
  <c r="C17" i="2" s="1"/>
  <c r="B11" i="1"/>
  <c r="D24" i="1"/>
  <c r="F22" i="4"/>
  <c r="F10" i="1"/>
  <c r="K10" i="1" s="1"/>
  <c r="K23" i="1" s="1"/>
  <c r="F20" i="2"/>
  <c r="B17" i="4"/>
  <c r="B38" i="2"/>
  <c r="B42" i="2" s="1"/>
  <c r="B21" i="2"/>
  <c r="D20" i="12" l="1"/>
  <c r="E19" i="12"/>
  <c r="P20" i="12"/>
  <c r="Q19" i="12"/>
  <c r="H22" i="12"/>
  <c r="B47" i="4"/>
  <c r="B51" i="4" s="1"/>
  <c r="B22" i="4"/>
  <c r="B21" i="4"/>
  <c r="B12" i="1"/>
  <c r="M4" i="1" s="1"/>
  <c r="L4" i="1"/>
  <c r="L18" i="1" s="1"/>
  <c r="C32" i="1"/>
  <c r="C7" i="2"/>
  <c r="B8" i="2"/>
  <c r="B48" i="2" s="1"/>
  <c r="B26" i="9"/>
  <c r="B51" i="2"/>
  <c r="N5" i="2"/>
  <c r="F23" i="4"/>
  <c r="B48" i="4" s="1"/>
  <c r="F26" i="4"/>
  <c r="B20" i="4"/>
  <c r="F24" i="1"/>
  <c r="D26" i="1"/>
  <c r="D27" i="1" s="1"/>
  <c r="B39" i="2"/>
  <c r="B40" i="2" s="1"/>
  <c r="B44" i="2" s="1"/>
  <c r="H10" i="1"/>
  <c r="K11" i="1" s="1"/>
  <c r="K24" i="1" s="1"/>
  <c r="F12" i="1"/>
  <c r="M10" i="1" s="1"/>
  <c r="B20" i="2"/>
  <c r="B26" i="2" s="1"/>
  <c r="B49" i="2" s="1"/>
  <c r="O10" i="1" l="1"/>
  <c r="O23" i="1" s="1"/>
  <c r="P10" i="1"/>
  <c r="P23" i="1" s="1"/>
  <c r="C11" i="12"/>
  <c r="C16" i="12" s="1"/>
  <c r="F4" i="9"/>
  <c r="Q20" i="12"/>
  <c r="Q21" i="12" s="1"/>
  <c r="Q18" i="12" s="1"/>
  <c r="Q17" i="12" s="1"/>
  <c r="R19" i="12"/>
  <c r="P21" i="12"/>
  <c r="F19" i="12"/>
  <c r="E20" i="12"/>
  <c r="E21" i="12" s="1"/>
  <c r="E18" i="12" s="1"/>
  <c r="E17" i="12" s="1"/>
  <c r="D21" i="12"/>
  <c r="D18" i="12" s="1"/>
  <c r="D17" i="12" s="1"/>
  <c r="I22" i="12"/>
  <c r="B54" i="3"/>
  <c r="B52" i="3" s="1"/>
  <c r="N10" i="1"/>
  <c r="N23" i="1" s="1"/>
  <c r="M23" i="1"/>
  <c r="N4" i="1"/>
  <c r="M18" i="1"/>
  <c r="F32" i="1"/>
  <c r="K12" i="1"/>
  <c r="K25" i="1" s="1"/>
  <c r="C34" i="1"/>
  <c r="F13" i="1"/>
  <c r="H12" i="1"/>
  <c r="D32" i="1"/>
  <c r="B17" i="2"/>
  <c r="N3" i="2"/>
  <c r="B50" i="4"/>
  <c r="B54" i="4" s="1"/>
  <c r="B49" i="4"/>
  <c r="B53" i="4" s="1"/>
  <c r="F26" i="1"/>
  <c r="M12" i="1" s="1"/>
  <c r="H24" i="1"/>
  <c r="H26" i="1" s="1"/>
  <c r="B26" i="4"/>
  <c r="L3" i="4" s="1"/>
  <c r="B24" i="1"/>
  <c r="F27" i="4"/>
  <c r="B52" i="4"/>
  <c r="B43" i="2"/>
  <c r="B41" i="2"/>
  <c r="B45" i="2" s="1"/>
  <c r="B61" i="3" l="1"/>
  <c r="U25" i="12"/>
  <c r="G25" i="12"/>
  <c r="V25" i="12"/>
  <c r="I25" i="12"/>
  <c r="H25" i="12"/>
  <c r="W25" i="12"/>
  <c r="P25" i="12"/>
  <c r="X25" i="12"/>
  <c r="J25" i="12"/>
  <c r="Q25" i="12"/>
  <c r="O25" i="12"/>
  <c r="K25" i="12"/>
  <c r="T25" i="12"/>
  <c r="F25" i="12"/>
  <c r="R25" i="12"/>
  <c r="D25" i="12"/>
  <c r="L25" i="12"/>
  <c r="S25" i="12"/>
  <c r="E25" i="12"/>
  <c r="C25" i="12"/>
  <c r="C9" i="12"/>
  <c r="O9" i="12" s="1"/>
  <c r="P12" i="1"/>
  <c r="P25" i="1" s="1"/>
  <c r="P9" i="12"/>
  <c r="Q9" i="12" s="1"/>
  <c r="R9" i="12" s="1"/>
  <c r="S9" i="12" s="1"/>
  <c r="T9" i="12" s="1"/>
  <c r="U9" i="12" s="1"/>
  <c r="V9" i="12" s="1"/>
  <c r="W9" i="12" s="1"/>
  <c r="X9" i="12" s="1"/>
  <c r="D11" i="12"/>
  <c r="E11" i="12" s="1"/>
  <c r="F11" i="12" s="1"/>
  <c r="G11" i="12" s="1"/>
  <c r="H11" i="12" s="1"/>
  <c r="I11" i="12" s="1"/>
  <c r="J11" i="12" s="1"/>
  <c r="K11" i="12" s="1"/>
  <c r="L11" i="12" s="1"/>
  <c r="O11" i="12"/>
  <c r="N18" i="1"/>
  <c r="B37" i="3"/>
  <c r="B47" i="3"/>
  <c r="S19" i="12"/>
  <c r="R20" i="12"/>
  <c r="R21" i="12" s="1"/>
  <c r="R18" i="12" s="1"/>
  <c r="R17" i="12" s="1"/>
  <c r="G19" i="12"/>
  <c r="F20" i="12"/>
  <c r="D9" i="12"/>
  <c r="E9" i="12" s="1"/>
  <c r="F9" i="12" s="1"/>
  <c r="G9" i="12" s="1"/>
  <c r="H9" i="12" s="1"/>
  <c r="I9" i="12" s="1"/>
  <c r="J9" i="12" s="1"/>
  <c r="K9" i="12" s="1"/>
  <c r="L9" i="12" s="1"/>
  <c r="P18" i="12"/>
  <c r="J22" i="12"/>
  <c r="B49" i="3"/>
  <c r="B43" i="3"/>
  <c r="B41" i="3" s="1"/>
  <c r="B51" i="3" s="1"/>
  <c r="M25" i="1"/>
  <c r="N12" i="1"/>
  <c r="N25" i="1" s="1"/>
  <c r="O12" i="1"/>
  <c r="H25" i="1"/>
  <c r="B33" i="1" s="1"/>
  <c r="M13" i="1"/>
  <c r="D34" i="1"/>
  <c r="M11" i="1"/>
  <c r="E32" i="1"/>
  <c r="K5" i="1"/>
  <c r="K19" i="1" s="1"/>
  <c r="F34" i="1"/>
  <c r="F35" i="1" s="1"/>
  <c r="F27" i="1"/>
  <c r="F23" i="5"/>
  <c r="F21" i="5" s="1"/>
  <c r="F22" i="5" s="1"/>
  <c r="B29" i="4"/>
  <c r="B35" i="4" s="1"/>
  <c r="B26" i="1"/>
  <c r="M5" i="1" s="1"/>
  <c r="B29" i="5"/>
  <c r="B20" i="5" s="1"/>
  <c r="B26" i="5" s="1"/>
  <c r="B40" i="5" s="1"/>
  <c r="C56" i="3"/>
  <c r="C53" i="3"/>
  <c r="C55" i="3"/>
  <c r="C54" i="3"/>
  <c r="F30" i="4"/>
  <c r="F29" i="4" s="1"/>
  <c r="M25" i="12" l="1"/>
  <c r="AA25" i="12" s="1"/>
  <c r="AB25" i="12" s="1"/>
  <c r="Y25" i="12"/>
  <c r="C27" i="12"/>
  <c r="D27" i="12"/>
  <c r="E27" i="12"/>
  <c r="F27" i="12"/>
  <c r="G27" i="12"/>
  <c r="H27" i="12"/>
  <c r="I27" i="12"/>
  <c r="J27" i="12"/>
  <c r="K27" i="12"/>
  <c r="L27" i="12"/>
  <c r="O27" i="12"/>
  <c r="P27" i="12"/>
  <c r="Q27" i="12"/>
  <c r="R27" i="12"/>
  <c r="S27" i="12"/>
  <c r="T27" i="12"/>
  <c r="U27" i="12"/>
  <c r="V27" i="12"/>
  <c r="W27" i="12"/>
  <c r="X27" i="12"/>
  <c r="O25" i="1"/>
  <c r="B14" i="3" s="1"/>
  <c r="R10" i="12"/>
  <c r="R34" i="12" s="1"/>
  <c r="E10" i="12"/>
  <c r="E34" i="12" s="1"/>
  <c r="D10" i="12"/>
  <c r="D34" i="12" s="1"/>
  <c r="S10" i="12"/>
  <c r="S34" i="12" s="1"/>
  <c r="C10" i="12"/>
  <c r="L10" i="12"/>
  <c r="L34" i="12" s="1"/>
  <c r="F10" i="12"/>
  <c r="F34" i="12" s="1"/>
  <c r="T10" i="12"/>
  <c r="T34" i="12" s="1"/>
  <c r="G10" i="12"/>
  <c r="G34" i="12" s="1"/>
  <c r="I10" i="12"/>
  <c r="I34" i="12" s="1"/>
  <c r="W10" i="12"/>
  <c r="W34" i="12" s="1"/>
  <c r="J10" i="12"/>
  <c r="J34" i="12" s="1"/>
  <c r="P10" i="12"/>
  <c r="P34" i="12" s="1"/>
  <c r="Q10" i="12"/>
  <c r="Q34" i="12" s="1"/>
  <c r="U10" i="12"/>
  <c r="U34" i="12" s="1"/>
  <c r="H10" i="12"/>
  <c r="H34" i="12" s="1"/>
  <c r="V10" i="12"/>
  <c r="V34" i="12" s="1"/>
  <c r="K10" i="12"/>
  <c r="K34" i="12" s="1"/>
  <c r="X10" i="12"/>
  <c r="X34" i="12" s="1"/>
  <c r="O10" i="12"/>
  <c r="C26" i="12"/>
  <c r="Y9" i="12"/>
  <c r="Z9" i="12"/>
  <c r="N11" i="12"/>
  <c r="P11" i="12"/>
  <c r="Q11" i="12" s="1"/>
  <c r="O16" i="12"/>
  <c r="O26" i="12" s="1"/>
  <c r="E16" i="12"/>
  <c r="E26" i="12" s="1"/>
  <c r="D16" i="12"/>
  <c r="D26" i="12" s="1"/>
  <c r="M11" i="12"/>
  <c r="B59" i="3"/>
  <c r="C23" i="12"/>
  <c r="B36" i="3"/>
  <c r="B29" i="3"/>
  <c r="B77" i="3" s="1"/>
  <c r="C12" i="12"/>
  <c r="P17" i="12"/>
  <c r="F21" i="12"/>
  <c r="F18" i="12" s="1"/>
  <c r="F17" i="12" s="1"/>
  <c r="F16" i="12" s="1"/>
  <c r="F26" i="12" s="1"/>
  <c r="N9" i="12"/>
  <c r="H19" i="12"/>
  <c r="G20" i="12"/>
  <c r="G21" i="12" s="1"/>
  <c r="G18" i="12" s="1"/>
  <c r="G17" i="12" s="1"/>
  <c r="G16" i="12" s="1"/>
  <c r="G26" i="12" s="1"/>
  <c r="M9" i="12"/>
  <c r="T19" i="12"/>
  <c r="S20" i="12"/>
  <c r="K22" i="12"/>
  <c r="C44" i="3"/>
  <c r="C43" i="3"/>
  <c r="C45" i="3"/>
  <c r="C42" i="3"/>
  <c r="K3" i="5"/>
  <c r="B50" i="3" s="1"/>
  <c r="N11" i="1"/>
  <c r="N24" i="1" s="1"/>
  <c r="M24" i="1"/>
  <c r="N5" i="1"/>
  <c r="M19" i="1"/>
  <c r="N13" i="1"/>
  <c r="N26" i="1" s="1"/>
  <c r="M26" i="1"/>
  <c r="L13" i="1"/>
  <c r="L26" i="1" s="1"/>
  <c r="B34" i="1"/>
  <c r="F24" i="5"/>
  <c r="E34" i="1"/>
  <c r="B38" i="4"/>
  <c r="B44" i="4" s="1"/>
  <c r="B30" i="2" s="1"/>
  <c r="B35" i="2" s="1"/>
  <c r="B30" i="5"/>
  <c r="B34" i="5" s="1"/>
  <c r="B33" i="5"/>
  <c r="Y27" i="12" l="1"/>
  <c r="Z27" i="12"/>
  <c r="N4" i="2"/>
  <c r="C28" i="12"/>
  <c r="D28" i="12"/>
  <c r="E28" i="12"/>
  <c r="F28" i="12"/>
  <c r="G28" i="12"/>
  <c r="H28" i="12"/>
  <c r="I28" i="12"/>
  <c r="J28" i="12"/>
  <c r="K28" i="12"/>
  <c r="L28" i="12"/>
  <c r="O28" i="12"/>
  <c r="O29" i="12" s="1"/>
  <c r="P28" i="12"/>
  <c r="Q28" i="12"/>
  <c r="R28" i="12"/>
  <c r="S28" i="12"/>
  <c r="T28" i="12"/>
  <c r="U28" i="12"/>
  <c r="V28" i="12"/>
  <c r="W28" i="12"/>
  <c r="X28" i="12"/>
  <c r="C34" i="12"/>
  <c r="N10" i="12"/>
  <c r="M10" i="12"/>
  <c r="O12" i="12"/>
  <c r="O35" i="12" s="1"/>
  <c r="C35" i="12"/>
  <c r="D12" i="12"/>
  <c r="Z10" i="12"/>
  <c r="Y10" i="12"/>
  <c r="O34" i="12"/>
  <c r="M27" i="12"/>
  <c r="N27" i="12"/>
  <c r="AA9" i="12"/>
  <c r="R11" i="12"/>
  <c r="Q16" i="12"/>
  <c r="Q26" i="12" s="1"/>
  <c r="D23" i="12"/>
  <c r="N19" i="1"/>
  <c r="B38" i="3"/>
  <c r="U19" i="12"/>
  <c r="T20" i="12"/>
  <c r="T21" i="12" s="1"/>
  <c r="T18" i="12" s="1"/>
  <c r="T17" i="12" s="1"/>
  <c r="I19" i="12"/>
  <c r="H20" i="12"/>
  <c r="S21" i="12"/>
  <c r="P16" i="12"/>
  <c r="P26" i="12" s="1"/>
  <c r="L22" i="12"/>
  <c r="B15" i="3"/>
  <c r="B13" i="3" s="1"/>
  <c r="B42" i="5"/>
  <c r="B35" i="5"/>
  <c r="B50" i="2"/>
  <c r="B52" i="2" s="1"/>
  <c r="B60" i="2" s="1"/>
  <c r="B31" i="5"/>
  <c r="P29" i="12" l="1"/>
  <c r="P30" i="12" s="1"/>
  <c r="O30" i="12"/>
  <c r="O31" i="12"/>
  <c r="AA10" i="12"/>
  <c r="M28" i="12"/>
  <c r="N28" i="12"/>
  <c r="AB10" i="12"/>
  <c r="B48" i="3"/>
  <c r="B46" i="3" s="1"/>
  <c r="B18" i="3" s="1"/>
  <c r="B17" i="3" s="1"/>
  <c r="B20" i="3" s="1"/>
  <c r="E12" i="12"/>
  <c r="D35" i="12"/>
  <c r="D36" i="12" s="1"/>
  <c r="M34" i="12"/>
  <c r="N34" i="12"/>
  <c r="Q29" i="12"/>
  <c r="Q30" i="12" s="1"/>
  <c r="Y28" i="12"/>
  <c r="AA28" i="12" s="1"/>
  <c r="AB28" i="12" s="1"/>
  <c r="Z28" i="12"/>
  <c r="AA27" i="12"/>
  <c r="AB27" i="12" s="1"/>
  <c r="P12" i="12"/>
  <c r="O36" i="12"/>
  <c r="Z34" i="12"/>
  <c r="Y34" i="12"/>
  <c r="AA34" i="12" s="1"/>
  <c r="AB34" i="12" s="1"/>
  <c r="C36" i="12"/>
  <c r="S11" i="12"/>
  <c r="T11" i="12" s="1"/>
  <c r="U11" i="12" s="1"/>
  <c r="V11" i="12" s="1"/>
  <c r="W11" i="12" s="1"/>
  <c r="X11" i="12" s="1"/>
  <c r="R16" i="12"/>
  <c r="R26" i="12" s="1"/>
  <c r="R29" i="12" s="1"/>
  <c r="E23" i="12"/>
  <c r="H21" i="12"/>
  <c r="H18" i="12" s="1"/>
  <c r="H17" i="12" s="1"/>
  <c r="H16" i="12" s="1"/>
  <c r="H26" i="12" s="1"/>
  <c r="S18" i="12"/>
  <c r="J19" i="12"/>
  <c r="I20" i="12"/>
  <c r="I21" i="12" s="1"/>
  <c r="I18" i="12" s="1"/>
  <c r="I17" i="12" s="1"/>
  <c r="I16" i="12" s="1"/>
  <c r="I26" i="12" s="1"/>
  <c r="U20" i="12"/>
  <c r="V19" i="12"/>
  <c r="B43" i="5"/>
  <c r="B47" i="5"/>
  <c r="B48" i="5"/>
  <c r="B44" i="5"/>
  <c r="B55" i="2"/>
  <c r="B54" i="2"/>
  <c r="B59" i="2"/>
  <c r="B53" i="2"/>
  <c r="B58" i="2"/>
  <c r="B56" i="2"/>
  <c r="P31" i="12" l="1"/>
  <c r="C51" i="3"/>
  <c r="B24" i="3"/>
  <c r="Q31" i="12"/>
  <c r="B60" i="3"/>
  <c r="B62" i="3" s="1"/>
  <c r="C62" i="3" s="1"/>
  <c r="Q12" i="12"/>
  <c r="P35" i="12"/>
  <c r="C47" i="3"/>
  <c r="F12" i="12"/>
  <c r="E35" i="12"/>
  <c r="E36" i="12" s="1"/>
  <c r="O37" i="12"/>
  <c r="C48" i="3"/>
  <c r="C50" i="3"/>
  <c r="C49" i="3"/>
  <c r="B23" i="3"/>
  <c r="R30" i="12"/>
  <c r="R31" i="12"/>
  <c r="Y11" i="12"/>
  <c r="AA11" i="12" s="1"/>
  <c r="Z11" i="12"/>
  <c r="T16" i="12"/>
  <c r="T26" i="12" s="1"/>
  <c r="T29" i="12" s="1"/>
  <c r="F23" i="12"/>
  <c r="U21" i="12"/>
  <c r="V20" i="12"/>
  <c r="V21" i="12" s="1"/>
  <c r="V18" i="12" s="1"/>
  <c r="V17" i="12" s="1"/>
  <c r="V16" i="12" s="1"/>
  <c r="V26" i="12" s="1"/>
  <c r="V29" i="12" s="1"/>
  <c r="W19" i="12"/>
  <c r="K19" i="12"/>
  <c r="J20" i="12"/>
  <c r="J21" i="12" s="1"/>
  <c r="J18" i="12" s="1"/>
  <c r="J17" i="12" s="1"/>
  <c r="J16" i="12" s="1"/>
  <c r="J26" i="12" s="1"/>
  <c r="S17" i="12"/>
  <c r="N22" i="12"/>
  <c r="AB22" i="12" s="1"/>
  <c r="C59" i="3"/>
  <c r="B25" i="3"/>
  <c r="B46" i="5"/>
  <c r="B26" i="3"/>
  <c r="B31" i="3" s="1"/>
  <c r="B78" i="3" s="1"/>
  <c r="B52" i="5"/>
  <c r="B50" i="5"/>
  <c r="B51" i="5"/>
  <c r="B53" i="5"/>
  <c r="C61" i="3" l="1"/>
  <c r="B80" i="3"/>
  <c r="R12" i="12"/>
  <c r="Q35" i="12"/>
  <c r="Q36" i="12" s="1"/>
  <c r="Q37" i="12" s="1"/>
  <c r="G12" i="12"/>
  <c r="F35" i="12"/>
  <c r="P36" i="12"/>
  <c r="C60" i="3"/>
  <c r="V30" i="12"/>
  <c r="V31" i="12"/>
  <c r="T30" i="12"/>
  <c r="T31" i="12"/>
  <c r="G23" i="12"/>
  <c r="B30" i="3"/>
  <c r="S16" i="12"/>
  <c r="S26" i="12" s="1"/>
  <c r="S29" i="12" s="1"/>
  <c r="L19" i="12"/>
  <c r="K20" i="12"/>
  <c r="K21" i="12" s="1"/>
  <c r="K18" i="12" s="1"/>
  <c r="K17" i="12" s="1"/>
  <c r="K16" i="12" s="1"/>
  <c r="K26" i="12" s="1"/>
  <c r="X19" i="12"/>
  <c r="W20" i="12"/>
  <c r="W21" i="12" s="1"/>
  <c r="W18" i="12" s="1"/>
  <c r="W17" i="12" s="1"/>
  <c r="W16" i="12" s="1"/>
  <c r="W26" i="12" s="1"/>
  <c r="W29" i="12" s="1"/>
  <c r="U18" i="12"/>
  <c r="C79" i="3" l="1"/>
  <c r="C77" i="3"/>
  <c r="C78" i="3"/>
  <c r="F36" i="12"/>
  <c r="P37" i="12"/>
  <c r="H12" i="12"/>
  <c r="G35" i="12"/>
  <c r="G36" i="12" s="1"/>
  <c r="S12" i="12"/>
  <c r="R35" i="12"/>
  <c r="S30" i="12"/>
  <c r="S31" i="12"/>
  <c r="W30" i="12"/>
  <c r="W31" i="12"/>
  <c r="H23" i="12"/>
  <c r="U17" i="12"/>
  <c r="X20" i="12"/>
  <c r="X21" i="12" s="1"/>
  <c r="L20" i="12"/>
  <c r="L21" i="12" s="1"/>
  <c r="L18" i="12" s="1"/>
  <c r="L17" i="12" s="1"/>
  <c r="L16" i="12" s="1"/>
  <c r="L26" i="12" s="1"/>
  <c r="I12" i="12" l="1"/>
  <c r="H35" i="12"/>
  <c r="H36" i="12" s="1"/>
  <c r="R36" i="12"/>
  <c r="T12" i="12"/>
  <c r="S35" i="12"/>
  <c r="S36" i="12" s="1"/>
  <c r="S37" i="12" s="1"/>
  <c r="N26" i="12"/>
  <c r="M26" i="12"/>
  <c r="I23" i="12"/>
  <c r="N19" i="12"/>
  <c r="Z19" i="12"/>
  <c r="N20" i="12"/>
  <c r="Z20" i="12"/>
  <c r="X18" i="12"/>
  <c r="U16" i="12"/>
  <c r="U26" i="12" s="1"/>
  <c r="U29" i="12" s="1"/>
  <c r="R37" i="12" l="1"/>
  <c r="J12" i="12"/>
  <c r="I35" i="12"/>
  <c r="U12" i="12"/>
  <c r="T35" i="12"/>
  <c r="U30" i="12"/>
  <c r="U31" i="12"/>
  <c r="AB19" i="12"/>
  <c r="AB20" i="12"/>
  <c r="J23" i="12"/>
  <c r="Z21" i="12"/>
  <c r="X17" i="12"/>
  <c r="Z18" i="12"/>
  <c r="N21" i="12"/>
  <c r="I36" i="12" l="1"/>
  <c r="K12" i="12"/>
  <c r="J35" i="12"/>
  <c r="J36" i="12" s="1"/>
  <c r="T36" i="12"/>
  <c r="V12" i="12"/>
  <c r="U35" i="12"/>
  <c r="U36" i="12" s="1"/>
  <c r="U37" i="12" s="1"/>
  <c r="AB21" i="12"/>
  <c r="K23" i="12"/>
  <c r="N18" i="12"/>
  <c r="AB18" i="12" s="1"/>
  <c r="X16" i="12"/>
  <c r="X26" i="12" s="1"/>
  <c r="X29" i="12" s="1"/>
  <c r="Z17" i="12"/>
  <c r="W12" i="12" l="1"/>
  <c r="V35" i="12"/>
  <c r="V36" i="12" s="1"/>
  <c r="V37" i="12" s="1"/>
  <c r="T37" i="12"/>
  <c r="L12" i="12"/>
  <c r="K35" i="12"/>
  <c r="K36" i="12" s="1"/>
  <c r="M12" i="12"/>
  <c r="X30" i="12"/>
  <c r="Z30" i="12" s="1"/>
  <c r="X31" i="12"/>
  <c r="Z31" i="12" s="1"/>
  <c r="Z29" i="12"/>
  <c r="Y29" i="12"/>
  <c r="Z26" i="12"/>
  <c r="Y26" i="12"/>
  <c r="AA26" i="12" s="1"/>
  <c r="AB26" i="12" s="1"/>
  <c r="L23" i="12"/>
  <c r="Y16" i="12"/>
  <c r="Z16" i="12"/>
  <c r="N17" i="12"/>
  <c r="AB17" i="12" s="1"/>
  <c r="X12" i="12" l="1"/>
  <c r="W35" i="12"/>
  <c r="W36" i="12" s="1"/>
  <c r="L35" i="12"/>
  <c r="N12" i="12"/>
  <c r="M23" i="12"/>
  <c r="M16" i="12"/>
  <c r="AA16" i="12" s="1"/>
  <c r="N16" i="12"/>
  <c r="AB16" i="12" s="1"/>
  <c r="L36" i="12" l="1"/>
  <c r="N35" i="12"/>
  <c r="M35" i="12"/>
  <c r="W37" i="12"/>
  <c r="X35" i="12"/>
  <c r="Z12" i="12"/>
  <c r="Y12" i="12"/>
  <c r="AA12" i="12" s="1"/>
  <c r="G24" i="12"/>
  <c r="G29" i="12" s="1"/>
  <c r="G37" i="12" s="1"/>
  <c r="L24" i="12"/>
  <c r="L29" i="12" s="1"/>
  <c r="H24" i="12"/>
  <c r="H29" i="12" s="1"/>
  <c r="H37" i="12" s="1"/>
  <c r="K24" i="12"/>
  <c r="K29" i="12" s="1"/>
  <c r="K37" i="12" s="1"/>
  <c r="E24" i="12"/>
  <c r="E29" i="12" s="1"/>
  <c r="E37" i="12" s="1"/>
  <c r="I24" i="12"/>
  <c r="I29" i="12" s="1"/>
  <c r="I37" i="12" s="1"/>
  <c r="D24" i="12"/>
  <c r="D29" i="12" s="1"/>
  <c r="D37" i="12" s="1"/>
  <c r="C24" i="12"/>
  <c r="C29" i="12" s="1"/>
  <c r="C37" i="12" s="1"/>
  <c r="J24" i="12"/>
  <c r="J29" i="12" s="1"/>
  <c r="J37" i="12" s="1"/>
  <c r="F24" i="12"/>
  <c r="F29" i="12" s="1"/>
  <c r="F37" i="12" s="1"/>
  <c r="AA23" i="12"/>
  <c r="X36" i="12" l="1"/>
  <c r="Y35" i="12"/>
  <c r="Z35" i="12"/>
  <c r="AA35" i="12"/>
  <c r="AB35" i="12" s="1"/>
  <c r="L37" i="12"/>
  <c r="M37" i="12" s="1"/>
  <c r="M36" i="12"/>
  <c r="N36" i="12"/>
  <c r="C30" i="12"/>
  <c r="C31" i="12"/>
  <c r="D30" i="12"/>
  <c r="D31" i="12"/>
  <c r="I30" i="12"/>
  <c r="I31" i="12"/>
  <c r="E30" i="12"/>
  <c r="E31" i="12"/>
  <c r="K30" i="12"/>
  <c r="K31" i="12"/>
  <c r="H30" i="12"/>
  <c r="H31" i="12"/>
  <c r="F30" i="12"/>
  <c r="F31" i="12"/>
  <c r="L30" i="12"/>
  <c r="L31" i="12"/>
  <c r="J30" i="12"/>
  <c r="J31" i="12"/>
  <c r="G30" i="12"/>
  <c r="G31" i="12"/>
  <c r="M29" i="12"/>
  <c r="AA29" i="12" s="1"/>
  <c r="AB29" i="12" s="1"/>
  <c r="N29" i="12"/>
  <c r="M24" i="12"/>
  <c r="AA24" i="12" s="1"/>
  <c r="AB24" i="12" s="1"/>
  <c r="N37" i="12" l="1"/>
  <c r="X37" i="12"/>
  <c r="Y36" i="12"/>
  <c r="AA36" i="12" s="1"/>
  <c r="AB36" i="12" s="1"/>
  <c r="Z36" i="12"/>
  <c r="N30" i="12"/>
  <c r="AB30" i="12" s="1"/>
  <c r="N31" i="12"/>
  <c r="AB31" i="12" s="1"/>
  <c r="Z33" i="12"/>
  <c r="AB33" i="12" s="1"/>
  <c r="Y37" i="12" l="1"/>
  <c r="AA37" i="12" s="1"/>
  <c r="AB37" i="12" s="1"/>
  <c r="Z37" i="12"/>
</calcChain>
</file>

<file path=xl/sharedStrings.xml><?xml version="1.0" encoding="utf-8"?>
<sst xmlns="http://schemas.openxmlformats.org/spreadsheetml/2006/main" count="506" uniqueCount="278">
  <si>
    <t>CO2</t>
  </si>
  <si>
    <t>+</t>
  </si>
  <si>
    <t>H2</t>
  </si>
  <si>
    <t>CH4</t>
  </si>
  <si>
    <t>mol</t>
  </si>
  <si>
    <t>MW</t>
  </si>
  <si>
    <t>MW (kg/mol)</t>
  </si>
  <si>
    <t>H2O</t>
  </si>
  <si>
    <t>==&gt;</t>
  </si>
  <si>
    <t>ans</t>
  </si>
  <si>
    <t>Investissement</t>
  </si>
  <si>
    <t>Electrolyseur</t>
  </si>
  <si>
    <t>Poste de transformation</t>
  </si>
  <si>
    <t>Compresseur</t>
  </si>
  <si>
    <t>Stockage H2</t>
  </si>
  <si>
    <t>Cout achat élec</t>
  </si>
  <si>
    <t>Débit H2 nominal</t>
  </si>
  <si>
    <t>Conso spécifique</t>
  </si>
  <si>
    <t>Rendement</t>
  </si>
  <si>
    <t>Nm3/h</t>
  </si>
  <si>
    <t>Kg/h</t>
  </si>
  <si>
    <t>Puissance électrolyseur nominal</t>
  </si>
  <si>
    <t>Rendement (% HHV)</t>
  </si>
  <si>
    <t>Cout
(€)</t>
  </si>
  <si>
    <t>Cout spécifique
(€/MW)</t>
  </si>
  <si>
    <t>Piping, …</t>
  </si>
  <si>
    <t>Total investissement</t>
  </si>
  <si>
    <t>Taux de fonctionnement</t>
  </si>
  <si>
    <t>Maintenance</t>
  </si>
  <si>
    <t>Maintenance annuelle</t>
  </si>
  <si>
    <t>% invest</t>
  </si>
  <si>
    <t>Total maintenance annuelle</t>
  </si>
  <si>
    <t>heures</t>
  </si>
  <si>
    <t>t/an</t>
  </si>
  <si>
    <t>MWh</t>
  </si>
  <si>
    <t>ELECTROLYSEUR</t>
  </si>
  <si>
    <t>COMPRESSEUR</t>
  </si>
  <si>
    <t>POSTE DE TRANSFORMATION</t>
  </si>
  <si>
    <t>Cout annuel
(€/an)</t>
  </si>
  <si>
    <t>Conso eau pure</t>
  </si>
  <si>
    <t>Rdt WPM</t>
  </si>
  <si>
    <t>Total conso H2O</t>
  </si>
  <si>
    <t>Total conso élec</t>
  </si>
  <si>
    <t>Consommation eau annuelle (m3)</t>
  </si>
  <si>
    <t>m3/an</t>
  </si>
  <si>
    <t>Conso élec spécifique</t>
  </si>
  <si>
    <t>Conso élec</t>
  </si>
  <si>
    <t>Coût achat eau potable</t>
  </si>
  <si>
    <t>€/m3</t>
  </si>
  <si>
    <t>Puissance</t>
  </si>
  <si>
    <t>Dégradation</t>
  </si>
  <si>
    <r>
      <rPr>
        <sz val="11"/>
        <color theme="1"/>
        <rFont val="Calibri"/>
        <family val="2"/>
      </rPr>
      <t>µ</t>
    </r>
    <r>
      <rPr>
        <sz val="11"/>
        <color theme="1"/>
        <rFont val="Aptos Narrow"/>
        <family val="2"/>
        <scheme val="minor"/>
      </rPr>
      <t>V/h</t>
    </r>
  </si>
  <si>
    <t>Durée de vie stack</t>
  </si>
  <si>
    <t>h</t>
  </si>
  <si>
    <t>Shift de stack</t>
  </si>
  <si>
    <t>Cout shift stack</t>
  </si>
  <si>
    <t>Shift stack électrolyseur</t>
  </si>
  <si>
    <t>Production H2</t>
  </si>
  <si>
    <t>Annuelle</t>
  </si>
  <si>
    <t>Durée d'amortissement</t>
  </si>
  <si>
    <t>Nm3</t>
  </si>
  <si>
    <t>kg</t>
  </si>
  <si>
    <t>t</t>
  </si>
  <si>
    <t>GWh/an</t>
  </si>
  <si>
    <t>Cout de prod H2</t>
  </si>
  <si>
    <t>Cout élec</t>
  </si>
  <si>
    <t>€/MWh</t>
  </si>
  <si>
    <t>Cout eau</t>
  </si>
  <si>
    <t>Cout maintenance</t>
  </si>
  <si>
    <t>COUT PROD H2</t>
  </si>
  <si>
    <t>€/Nm3</t>
  </si>
  <si>
    <t>€/kg</t>
  </si>
  <si>
    <t>€/t</t>
  </si>
  <si>
    <t>COUT TOTAL D'OPERATION</t>
  </si>
  <si>
    <t>Unité de méthanation</t>
  </si>
  <si>
    <t>Unité de purification</t>
  </si>
  <si>
    <t>Stockage CH4</t>
  </si>
  <si>
    <t>Unité de purification &amp; analyse</t>
  </si>
  <si>
    <t>Injection réseau</t>
  </si>
  <si>
    <t>REPARTITION COUT PROD H2</t>
  </si>
  <si>
    <t>OPEX</t>
  </si>
  <si>
    <t>UNITE METHANATION</t>
  </si>
  <si>
    <t>Débit CH4 nominal</t>
  </si>
  <si>
    <t>METHANATION</t>
  </si>
  <si>
    <t>ELECTROLYSE</t>
  </si>
  <si>
    <t>e-</t>
  </si>
  <si>
    <t>O2</t>
  </si>
  <si>
    <t>Flow rate (kg/h)</t>
  </si>
  <si>
    <t>Densité (kg/m3)</t>
  </si>
  <si>
    <t>PCI (kWh/Nm3)</t>
  </si>
  <si>
    <t>PCS (kWh/Nm3)</t>
  </si>
  <si>
    <t>PCI (kWh/kg)</t>
  </si>
  <si>
    <t>Cout spécifique
(€/MW CH4)</t>
  </si>
  <si>
    <t>MW CH4</t>
  </si>
  <si>
    <t>Stoechio H2/CH4</t>
  </si>
  <si>
    <t>kWhe/Nm3 CH4</t>
  </si>
  <si>
    <t>kWhe/kg CH4</t>
  </si>
  <si>
    <t>kWh/Nm3 H2</t>
  </si>
  <si>
    <t>kWh/kg H2</t>
  </si>
  <si>
    <t>Production eau annuelle (m3)</t>
  </si>
  <si>
    <t>Total prod H2O</t>
  </si>
  <si>
    <t>Conso CO2</t>
  </si>
  <si>
    <t>Stoechio CO2/CH4</t>
  </si>
  <si>
    <t>UNITE DE PURIFICATION</t>
  </si>
  <si>
    <t>Consommation électrique annuelle (MWhe)</t>
  </si>
  <si>
    <t>Consommation électrique annuelle (MWh)</t>
  </si>
  <si>
    <t>L/Nm3 H2</t>
  </si>
  <si>
    <t>L/kg H2</t>
  </si>
  <si>
    <t>Nm3 CO2/h</t>
  </si>
  <si>
    <t>kg CO2/h</t>
  </si>
  <si>
    <t>Conso CO2 annuelle (tonne)</t>
  </si>
  <si>
    <t>Stoechio H2O/CH4</t>
  </si>
  <si>
    <t>Rendement (% )</t>
  </si>
  <si>
    <t>Prod H2O</t>
  </si>
  <si>
    <t>Flow rate (m3/h) [liq]</t>
  </si>
  <si>
    <t>Flow rate (Nm3/h) [gaz]</t>
  </si>
  <si>
    <t>kg/h</t>
  </si>
  <si>
    <t>BILAN</t>
  </si>
  <si>
    <t>m3/h</t>
  </si>
  <si>
    <t>Production CH4</t>
  </si>
  <si>
    <t>Nm3 CH4/an</t>
  </si>
  <si>
    <t>Nm3 H2/an</t>
  </si>
  <si>
    <t>kg H2/an</t>
  </si>
  <si>
    <t>t H2/an</t>
  </si>
  <si>
    <t>GWh H2/an</t>
  </si>
  <si>
    <t>kg H2</t>
  </si>
  <si>
    <t>Nm3 H2</t>
  </si>
  <si>
    <t>t H2</t>
  </si>
  <si>
    <t>GWh H2</t>
  </si>
  <si>
    <t>kg CH4/an</t>
  </si>
  <si>
    <t>t CH4/an</t>
  </si>
  <si>
    <t>GWh CH4/an</t>
  </si>
  <si>
    <t>Nm3 CH4</t>
  </si>
  <si>
    <t>GWh CH4</t>
  </si>
  <si>
    <t>t CH4</t>
  </si>
  <si>
    <t>kg CH4</t>
  </si>
  <si>
    <t>Récupération eau de méthanation (NO=0 / YES=1)</t>
  </si>
  <si>
    <t>Distance au point d'injection</t>
  </si>
  <si>
    <t>m</t>
  </si>
  <si>
    <t>€/m</t>
  </si>
  <si>
    <t>Cout de raccordement au point d'injection</t>
  </si>
  <si>
    <t>Coût achat CO2 livré</t>
  </si>
  <si>
    <t>https://www.kanadevia-inova.com/wiki/hzi-catalytic-methanation/</t>
  </si>
  <si>
    <t>m3</t>
  </si>
  <si>
    <t>Nm3 CO2/an</t>
  </si>
  <si>
    <t>kg CO2/an</t>
  </si>
  <si>
    <t>t CO2/an</t>
  </si>
  <si>
    <t>Nm3 CO2</t>
  </si>
  <si>
    <t>kg CO2</t>
  </si>
  <si>
    <t>t CO2</t>
  </si>
  <si>
    <t>Stockage CO2</t>
  </si>
  <si>
    <t>CAPEX</t>
  </si>
  <si>
    <t>MAINTENANCE</t>
  </si>
  <si>
    <t>SYNTHESE ANNUELLE</t>
  </si>
  <si>
    <t>Coût achat CO2 issu de BIOGAZ</t>
  </si>
  <si>
    <t>ACHATS</t>
  </si>
  <si>
    <t>OPERATION</t>
  </si>
  <si>
    <t>Puissance Electrolyse</t>
  </si>
  <si>
    <t>INVESTISSEMENT</t>
  </si>
  <si>
    <t>Piping sur site</t>
  </si>
  <si>
    <t>Cablage site</t>
  </si>
  <si>
    <t>Travaux de genie civil (dalle, sécurisation, …)</t>
  </si>
  <si>
    <t>Cout de maintenance</t>
  </si>
  <si>
    <t>Site</t>
  </si>
  <si>
    <t>Prod H2</t>
  </si>
  <si>
    <t>Methanation</t>
  </si>
  <si>
    <t>Appro CO2</t>
  </si>
  <si>
    <t>INSTALLATION</t>
  </si>
  <si>
    <t>CAPEX including financial cost</t>
  </si>
  <si>
    <t>Durée d'exploitation</t>
  </si>
  <si>
    <t>Coûts financiers</t>
  </si>
  <si>
    <t>OPEX ANNUEL</t>
  </si>
  <si>
    <t>FINANCIER</t>
  </si>
  <si>
    <t>Puissance captage CO2</t>
  </si>
  <si>
    <t>heures/an</t>
  </si>
  <si>
    <t>kWhe/Nm3 CO2</t>
  </si>
  <si>
    <t>kWhe/kg CO2</t>
  </si>
  <si>
    <t>CO2 traité/CO2 perdu</t>
  </si>
  <si>
    <t>CO2 prélevé</t>
  </si>
  <si>
    <t>CO2 pur produit</t>
  </si>
  <si>
    <t>kWh / h</t>
  </si>
  <si>
    <t>kWh/h</t>
  </si>
  <si>
    <t>€/GWh H2</t>
  </si>
  <si>
    <t>MWh / h</t>
  </si>
  <si>
    <t>MAINTENANCE ANNUELLE</t>
  </si>
  <si>
    <t>PROD COST</t>
  </si>
  <si>
    <t>Nm3/year</t>
  </si>
  <si>
    <t>kg/year</t>
  </si>
  <si>
    <t>t/year</t>
  </si>
  <si>
    <t>m3/year</t>
  </si>
  <si>
    <t>ANNUEL</t>
  </si>
  <si>
    <t>GWh / h</t>
  </si>
  <si>
    <t>SUR LA PERIODE D'OPERATION</t>
  </si>
  <si>
    <t>CONSOMME</t>
  </si>
  <si>
    <t>PRODUIT</t>
  </si>
  <si>
    <t>€/kg CH4</t>
  </si>
  <si>
    <t>€/MWh CH4</t>
  </si>
  <si>
    <t>Cout de récupération CO2</t>
  </si>
  <si>
    <t>COUT RECUPERATION CO2</t>
  </si>
  <si>
    <t>COUT ACQUISITION CO2</t>
  </si>
  <si>
    <t>REPARTITION COUT D'ACQUISITION CO2</t>
  </si>
  <si>
    <t>Achat CO2</t>
  </si>
  <si>
    <t>Cout total d'operation</t>
  </si>
  <si>
    <t>€/kg H2</t>
  </si>
  <si>
    <t>Prix moyen de vente CH4 en France</t>
  </si>
  <si>
    <t>REVENUS</t>
  </si>
  <si>
    <t>Prix crédit carbone (pour CO2 biogénique)</t>
  </si>
  <si>
    <t>€/t CO2</t>
  </si>
  <si>
    <t>CAS 1: RECUPERATION CO2 ISSU DE BIOGAZ</t>
  </si>
  <si>
    <t>Vente CH4</t>
  </si>
  <si>
    <t>Marge</t>
  </si>
  <si>
    <t>Crédit CO2</t>
  </si>
  <si>
    <t>COUTS</t>
  </si>
  <si>
    <t>Prod CH4</t>
  </si>
  <si>
    <t>LCOH</t>
  </si>
  <si>
    <t>Actif (0 = non /  1 = oui)</t>
  </si>
  <si>
    <t>€/kg CO2</t>
  </si>
  <si>
    <t>CO2 (Achat + purif)</t>
  </si>
  <si>
    <t>Prix crédit carbone (pour CO2 capté)</t>
  </si>
  <si>
    <t>Appro CO2 (achat inclus)</t>
  </si>
  <si>
    <t>STOCKAGE H2</t>
  </si>
  <si>
    <t>Invest</t>
  </si>
  <si>
    <t>H2 produit (kg)</t>
  </si>
  <si>
    <t>CO2 consommé (kg)</t>
  </si>
  <si>
    <t>CH4 produit (kg)</t>
  </si>
  <si>
    <t>Rendement (% PCS)</t>
  </si>
  <si>
    <t>Conso spé Elec (kWh/Nm3)</t>
  </si>
  <si>
    <t>Conso spé Elec (kWh/kg)</t>
  </si>
  <si>
    <t>Conso élec (GWh)</t>
  </si>
  <si>
    <t>PERIODE 1</t>
  </si>
  <si>
    <t>Total 1</t>
  </si>
  <si>
    <t>Moyenne 1</t>
  </si>
  <si>
    <t>Total 2</t>
  </si>
  <si>
    <t>Moyenne 2</t>
  </si>
  <si>
    <t>PERIODE 2</t>
  </si>
  <si>
    <t>TOTAL</t>
  </si>
  <si>
    <t>Elec</t>
  </si>
  <si>
    <t>UTILITIES COST</t>
  </si>
  <si>
    <t>UTILITIES  (ANNUEL)</t>
  </si>
  <si>
    <t>MOYENNE</t>
  </si>
  <si>
    <t>Conso spe BoP (kWh/Nm3)</t>
  </si>
  <si>
    <t>Conso spe. Stack (kWh/Nm3)</t>
  </si>
  <si>
    <t>Cell Voltage (V)</t>
  </si>
  <si>
    <t>Evolution cout éléc (€/MWh)</t>
  </si>
  <si>
    <t>COST BREAKDOWN</t>
  </si>
  <si>
    <t>Evolution cout éléc (%/an)</t>
  </si>
  <si>
    <t>Evolution cout achat CO2 (%/an)</t>
  </si>
  <si>
    <t>Evolution cout CO2 (€/kg CO2)</t>
  </si>
  <si>
    <t>Couts financiers (€/an)</t>
  </si>
  <si>
    <t>Maintenance (€/an)</t>
  </si>
  <si>
    <t>Cout élec (€/an)</t>
  </si>
  <si>
    <t>Cout achat CO2 (€/an)</t>
  </si>
  <si>
    <t>Amortissement invest (€/an)</t>
  </si>
  <si>
    <t>Cout achat H2O (€/an)</t>
  </si>
  <si>
    <t>Evolution cout H2O (€/m3 H2O)</t>
  </si>
  <si>
    <t>Evolution cout achat H2O (%/an)</t>
  </si>
  <si>
    <t>Utilities</t>
  </si>
  <si>
    <t>COUT DE PRODUCTION (€/kg CH4)</t>
  </si>
  <si>
    <t>CH4 produit (GWh)</t>
  </si>
  <si>
    <t>COUT DE PRODUCTION (€/MWh CH4)</t>
  </si>
  <si>
    <t>VENTE CH4 (€/an)</t>
  </si>
  <si>
    <t>Prix vente CH4 (€/MWh)</t>
  </si>
  <si>
    <t>Prix crédit CO2 (€/kg)</t>
  </si>
  <si>
    <t>CREDIT CO2 (€/an)</t>
  </si>
  <si>
    <t>TOTAL REVENUS (€/an)</t>
  </si>
  <si>
    <t>TOTAL COUTS DE PRODUCTION (€/an)</t>
  </si>
  <si>
    <t>€/MWh PCS CH4</t>
  </si>
  <si>
    <t>GWh PCI/year</t>
  </si>
  <si>
    <t>GWh PCS / year</t>
  </si>
  <si>
    <t>GWh PCI</t>
  </si>
  <si>
    <t>GWh PCS</t>
  </si>
  <si>
    <t>PCS (kWh/kg)</t>
  </si>
  <si>
    <t>€/MWh PCI CH4</t>
  </si>
  <si>
    <t>Evolution prix de vente CH4  (%/an)</t>
  </si>
  <si>
    <t>Evolution credit CO2  (%/an)</t>
  </si>
  <si>
    <t>Nm3/an</t>
  </si>
  <si>
    <t>kg/an</t>
  </si>
  <si>
    <t>PERFO ELECTROLYSEUR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</si>
</sst>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* #,##0.0\ &quot;€&quot;_-;\-* #,##0.0\ &quot;€&quot;_-;_-* &quot;-&quot;??\ &quot;€&quot;_-;_-@_-"/>
    <numFmt numFmtId="165" formatCode="_-* #,##0\ &quot;€&quot;_-;\-* #,##0\ &quot;€&quot;_-;_-* &quot;-&quot;??\ &quot;€&quot;_-;_-@_-"/>
    <numFmt numFmtId="166" formatCode="0.0000"/>
    <numFmt numFmtId="167" formatCode="0.000"/>
    <numFmt numFmtId="168" formatCode="0.0"/>
    <numFmt numFmtId="169" formatCode="0.0%"/>
    <numFmt numFmtId="170" formatCode="_-* #,##0.000\ &quot;€&quot;_-;\-* #,##0.000\ &quot;€&quot;_-;_-* &quot;-&quot;??\ &quot;€&quot;_-;_-@_-"/>
    <numFmt numFmtId="171" formatCode="_-* #,##0.0000\ &quot;€&quot;_-;\-* #,##0.0000\ &quot;€&quot;_-;_-* &quot;-&quot;??\ &quot;€&quot;_-;_-@_-"/>
    <numFmt numFmtId="172" formatCode="_-* #,##0.00000\ &quot;€&quot;_-;\-* #,##0.00000\ &quot;€&quot;_-;_-* &quot;-&quot;??\ &quot;€&quot;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i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165" fontId="0" fillId="3" borderId="1" xfId="1" applyNumberFormat="1" applyFont="1" applyFill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8" fontId="0" fillId="0" borderId="0" xfId="0" applyNumberFormat="1" applyAlignment="1">
      <alignment vertical="center"/>
    </xf>
    <xf numFmtId="9" fontId="0" fillId="0" borderId="0" xfId="2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9" fontId="3" fillId="0" borderId="1" xfId="2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168" fontId="0" fillId="3" borderId="0" xfId="0" applyNumberFormat="1" applyFill="1" applyAlignment="1">
      <alignment vertical="center"/>
    </xf>
    <xf numFmtId="9" fontId="0" fillId="3" borderId="0" xfId="2" applyFont="1" applyFill="1" applyBorder="1" applyAlignment="1">
      <alignment vertical="center"/>
    </xf>
    <xf numFmtId="9" fontId="0" fillId="3" borderId="0" xfId="0" applyNumberFormat="1" applyFill="1" applyAlignment="1">
      <alignment vertical="center"/>
    </xf>
    <xf numFmtId="1" fontId="0" fillId="0" borderId="1" xfId="2" applyNumberFormat="1" applyFont="1" applyFill="1" applyBorder="1" applyAlignment="1">
      <alignment horizontal="center" vertical="center"/>
    </xf>
    <xf numFmtId="2" fontId="0" fillId="0" borderId="1" xfId="2" applyNumberFormat="1" applyFont="1" applyFill="1" applyBorder="1" applyAlignment="1">
      <alignment horizontal="center" vertical="center"/>
    </xf>
    <xf numFmtId="167" fontId="0" fillId="3" borderId="0" xfId="0" applyNumberFormat="1" applyFill="1" applyAlignment="1">
      <alignment vertical="center"/>
    </xf>
    <xf numFmtId="0" fontId="0" fillId="3" borderId="8" xfId="0" applyFill="1" applyBorder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8" xfId="0" applyNumberFormat="1" applyFill="1" applyBorder="1" applyAlignment="1">
      <alignment vertical="center"/>
    </xf>
    <xf numFmtId="2" fontId="0" fillId="3" borderId="0" xfId="0" applyNumberFormat="1" applyFill="1" applyAlignment="1">
      <alignment vertical="center"/>
    </xf>
    <xf numFmtId="165" fontId="0" fillId="3" borderId="8" xfId="1" applyNumberFormat="1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5" fontId="0" fillId="0" borderId="8" xfId="0" applyNumberFormat="1" applyBorder="1" applyAlignment="1">
      <alignment vertical="center"/>
    </xf>
    <xf numFmtId="44" fontId="0" fillId="0" borderId="3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7" fillId="0" borderId="7" xfId="0" applyFont="1" applyBorder="1" applyAlignment="1">
      <alignment vertical="center"/>
    </xf>
    <xf numFmtId="165" fontId="7" fillId="0" borderId="8" xfId="0" applyNumberFormat="1" applyFont="1" applyBorder="1" applyAlignment="1">
      <alignment vertical="center"/>
    </xf>
    <xf numFmtId="1" fontId="3" fillId="0" borderId="1" xfId="2" applyNumberFormat="1" applyFont="1" applyBorder="1" applyAlignment="1">
      <alignment horizontal="center" vertical="center"/>
    </xf>
    <xf numFmtId="169" fontId="0" fillId="3" borderId="1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9" fontId="0" fillId="0" borderId="8" xfId="2" applyFont="1" applyBorder="1" applyAlignment="1">
      <alignment vertical="center"/>
    </xf>
    <xf numFmtId="164" fontId="8" fillId="5" borderId="0" xfId="0" applyNumberFormat="1" applyFont="1" applyFill="1" applyAlignment="1">
      <alignment vertical="center"/>
    </xf>
    <xf numFmtId="0" fontId="8" fillId="5" borderId="6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1" fontId="3" fillId="0" borderId="0" xfId="2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9" fontId="0" fillId="0" borderId="0" xfId="2" applyFont="1" applyFill="1" applyBorder="1" applyAlignment="1">
      <alignment vertical="center"/>
    </xf>
    <xf numFmtId="167" fontId="0" fillId="0" borderId="0" xfId="0" applyNumberFormat="1" applyAlignment="1">
      <alignment vertical="center"/>
    </xf>
    <xf numFmtId="2" fontId="0" fillId="3" borderId="8" xfId="1" applyNumberFormat="1" applyFont="1" applyFill="1" applyBorder="1" applyAlignment="1">
      <alignment vertical="center"/>
    </xf>
    <xf numFmtId="0" fontId="4" fillId="0" borderId="0" xfId="3"/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3" xfId="0" applyBorder="1" applyAlignment="1">
      <alignment vertical="center"/>
    </xf>
    <xf numFmtId="165" fontId="0" fillId="0" borderId="24" xfId="0" applyNumberFormat="1" applyBorder="1" applyAlignment="1">
      <alignment vertical="center"/>
    </xf>
    <xf numFmtId="165" fontId="0" fillId="0" borderId="22" xfId="0" applyNumberFormat="1" applyBorder="1" applyAlignment="1">
      <alignment vertical="center"/>
    </xf>
    <xf numFmtId="44" fontId="0" fillId="0" borderId="20" xfId="1" applyFont="1" applyBorder="1" applyAlignment="1">
      <alignment vertical="center"/>
    </xf>
    <xf numFmtId="165" fontId="0" fillId="0" borderId="20" xfId="1" applyNumberFormat="1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7" xfId="0" applyBorder="1"/>
    <xf numFmtId="0" fontId="0" fillId="0" borderId="16" xfId="0" applyBorder="1"/>
    <xf numFmtId="9" fontId="0" fillId="0" borderId="0" xfId="2" applyFont="1" applyBorder="1"/>
    <xf numFmtId="169" fontId="3" fillId="0" borderId="1" xfId="2" applyNumberFormat="1" applyFont="1" applyBorder="1" applyAlignment="1">
      <alignment horizontal="center" vertical="center"/>
    </xf>
    <xf numFmtId="0" fontId="9" fillId="0" borderId="0" xfId="0" applyFont="1"/>
    <xf numFmtId="0" fontId="0" fillId="3" borderId="0" xfId="0" applyFill="1"/>
    <xf numFmtId="9" fontId="0" fillId="3" borderId="0" xfId="2" applyFont="1" applyFill="1" applyBorder="1"/>
    <xf numFmtId="2" fontId="3" fillId="0" borderId="1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6" xfId="0" applyNumberFormat="1" applyBorder="1" applyAlignment="1">
      <alignment horizontal="center"/>
    </xf>
    <xf numFmtId="170" fontId="8" fillId="5" borderId="0" xfId="0" applyNumberFormat="1" applyFont="1" applyFill="1" applyAlignment="1">
      <alignment vertical="center"/>
    </xf>
    <xf numFmtId="0" fontId="9" fillId="0" borderId="5" xfId="0" applyFont="1" applyBorder="1" applyAlignment="1">
      <alignment horizontal="right" vertical="center"/>
    </xf>
    <xf numFmtId="171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170" fontId="0" fillId="0" borderId="3" xfId="0" applyNumberFormat="1" applyBorder="1" applyAlignment="1">
      <alignment vertical="center"/>
    </xf>
    <xf numFmtId="168" fontId="0" fillId="3" borderId="0" xfId="2" applyNumberFormat="1" applyFont="1" applyFill="1" applyBorder="1"/>
    <xf numFmtId="165" fontId="0" fillId="0" borderId="0" xfId="1" applyNumberFormat="1" applyFont="1" applyBorder="1"/>
    <xf numFmtId="165" fontId="3" fillId="0" borderId="0" xfId="1" applyNumberFormat="1" applyFont="1" applyBorder="1"/>
    <xf numFmtId="165" fontId="9" fillId="0" borderId="0" xfId="1" applyNumberFormat="1" applyFont="1" applyBorder="1"/>
    <xf numFmtId="0" fontId="6" fillId="0" borderId="0" xfId="0" applyFont="1" applyAlignment="1">
      <alignment vertical="center"/>
    </xf>
    <xf numFmtId="44" fontId="0" fillId="0" borderId="0" xfId="1" applyFont="1" applyBorder="1"/>
    <xf numFmtId="171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5" fontId="1" fillId="0" borderId="0" xfId="1" applyNumberFormat="1" applyFont="1" applyBorder="1" applyAlignment="1">
      <alignment horizontal="right"/>
    </xf>
    <xf numFmtId="165" fontId="7" fillId="0" borderId="0" xfId="1" applyNumberFormat="1" applyFont="1" applyBorder="1" applyAlignment="1">
      <alignment horizontal="right"/>
    </xf>
    <xf numFmtId="1" fontId="1" fillId="0" borderId="0" xfId="1" applyNumberFormat="1" applyFont="1" applyBorder="1" applyAlignment="1">
      <alignment horizontal="right"/>
    </xf>
    <xf numFmtId="1" fontId="0" fillId="0" borderId="0" xfId="1" applyNumberFormat="1" applyFont="1" applyBorder="1" applyAlignment="1">
      <alignment horizontal="right"/>
    </xf>
    <xf numFmtId="1" fontId="0" fillId="0" borderId="0" xfId="1" applyNumberFormat="1" applyFont="1" applyBorder="1"/>
    <xf numFmtId="165" fontId="10" fillId="11" borderId="0" xfId="1" applyNumberFormat="1" applyFont="1" applyFill="1" applyBorder="1"/>
    <xf numFmtId="0" fontId="2" fillId="2" borderId="3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1" fontId="0" fillId="0" borderId="1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0" fontId="0" fillId="0" borderId="28" xfId="0" applyBorder="1" applyAlignment="1">
      <alignment vertical="center"/>
    </xf>
    <xf numFmtId="1" fontId="0" fillId="0" borderId="9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8" fontId="0" fillId="0" borderId="4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0" borderId="2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20" xfId="2" applyFont="1" applyBorder="1" applyAlignment="1">
      <alignment horizontal="center" vertical="center"/>
    </xf>
    <xf numFmtId="9" fontId="0" fillId="0" borderId="19" xfId="2" applyFont="1" applyBorder="1" applyAlignment="1">
      <alignment horizontal="center" vertical="center"/>
    </xf>
    <xf numFmtId="9" fontId="0" fillId="0" borderId="41" xfId="2" applyFont="1" applyBorder="1" applyAlignment="1">
      <alignment horizontal="center" vertical="center"/>
    </xf>
    <xf numFmtId="0" fontId="0" fillId="0" borderId="40" xfId="0" applyBorder="1" applyAlignment="1">
      <alignment vertical="center"/>
    </xf>
    <xf numFmtId="2" fontId="0" fillId="0" borderId="37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165" fontId="0" fillId="0" borderId="12" xfId="1" applyNumberFormat="1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0" fillId="0" borderId="48" xfId="0" applyBorder="1" applyAlignment="1">
      <alignment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7" fontId="0" fillId="0" borderId="3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8" fontId="0" fillId="0" borderId="31" xfId="0" applyNumberFormat="1" applyBorder="1" applyAlignment="1">
      <alignment horizontal="center" vertical="center"/>
    </xf>
    <xf numFmtId="165" fontId="0" fillId="0" borderId="51" xfId="1" applyNumberFormat="1" applyFont="1" applyBorder="1" applyAlignment="1">
      <alignment horizontal="center" vertical="center"/>
    </xf>
    <xf numFmtId="165" fontId="0" fillId="0" borderId="51" xfId="1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65" fontId="0" fillId="0" borderId="20" xfId="0" applyNumberFormat="1" applyBorder="1" applyAlignment="1">
      <alignment vertical="center"/>
    </xf>
    <xf numFmtId="44" fontId="0" fillId="0" borderId="12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20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0" fillId="0" borderId="41" xfId="1" applyFont="1" applyBorder="1" applyAlignment="1">
      <alignment horizontal="center" vertical="center"/>
    </xf>
    <xf numFmtId="0" fontId="0" fillId="0" borderId="49" xfId="0" applyBorder="1" applyAlignment="1">
      <alignment vertical="center"/>
    </xf>
    <xf numFmtId="44" fontId="0" fillId="0" borderId="9" xfId="1" applyFont="1" applyBorder="1" applyAlignment="1">
      <alignment horizontal="center" vertical="center"/>
    </xf>
    <xf numFmtId="44" fontId="0" fillId="0" borderId="33" xfId="1" applyFont="1" applyBorder="1" applyAlignment="1">
      <alignment horizontal="center" vertical="center"/>
    </xf>
    <xf numFmtId="44" fontId="0" fillId="0" borderId="24" xfId="1" applyFont="1" applyBorder="1" applyAlignment="1">
      <alignment horizontal="center" vertical="center"/>
    </xf>
    <xf numFmtId="44" fontId="0" fillId="0" borderId="23" xfId="1" applyFont="1" applyBorder="1" applyAlignment="1">
      <alignment horizontal="center" vertical="center"/>
    </xf>
    <xf numFmtId="44" fontId="0" fillId="0" borderId="44" xfId="1" applyFont="1" applyBorder="1" applyAlignment="1">
      <alignment horizontal="center" vertical="center"/>
    </xf>
    <xf numFmtId="44" fontId="0" fillId="0" borderId="52" xfId="1" applyFont="1" applyBorder="1" applyAlignment="1">
      <alignment horizontal="center" vertical="center"/>
    </xf>
    <xf numFmtId="44" fontId="0" fillId="0" borderId="53" xfId="1" applyFont="1" applyBorder="1" applyAlignment="1">
      <alignment horizontal="center" vertical="center"/>
    </xf>
    <xf numFmtId="44" fontId="0" fillId="0" borderId="22" xfId="1" applyFont="1" applyBorder="1" applyAlignment="1">
      <alignment horizontal="center" vertical="center"/>
    </xf>
    <xf numFmtId="44" fontId="0" fillId="0" borderId="54" xfId="1" applyFont="1" applyBorder="1" applyAlignment="1">
      <alignment horizontal="center" vertical="center"/>
    </xf>
    <xf numFmtId="44" fontId="0" fillId="0" borderId="42" xfId="1" applyFont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 vertical="center"/>
    </xf>
    <xf numFmtId="165" fontId="0" fillId="0" borderId="19" xfId="1" applyNumberFormat="1" applyFon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165" fontId="0" fillId="0" borderId="50" xfId="0" applyNumberFormat="1" applyBorder="1" applyAlignment="1">
      <alignment vertical="center"/>
    </xf>
    <xf numFmtId="165" fontId="0" fillId="0" borderId="17" xfId="1" applyNumberFormat="1" applyFont="1" applyBorder="1" applyAlignment="1">
      <alignment vertical="center"/>
    </xf>
    <xf numFmtId="44" fontId="0" fillId="0" borderId="50" xfId="1" applyFont="1" applyBorder="1" applyAlignment="1">
      <alignment horizontal="center" vertical="center"/>
    </xf>
    <xf numFmtId="44" fontId="0" fillId="0" borderId="51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31" xfId="1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38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0" borderId="55" xfId="0" applyBorder="1" applyAlignment="1">
      <alignment vertical="center"/>
    </xf>
    <xf numFmtId="165" fontId="0" fillId="0" borderId="10" xfId="1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10" xfId="0" applyNumberFormat="1" applyBorder="1" applyAlignment="1">
      <alignment vertical="center"/>
    </xf>
    <xf numFmtId="44" fontId="0" fillId="0" borderId="7" xfId="1" applyFont="1" applyBorder="1" applyAlignment="1">
      <alignment horizontal="center" vertical="center"/>
    </xf>
    <xf numFmtId="44" fontId="0" fillId="0" borderId="38" xfId="1" applyFon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0" fillId="10" borderId="39" xfId="0" applyFill="1" applyBorder="1" applyAlignment="1">
      <alignment vertical="center"/>
    </xf>
    <xf numFmtId="165" fontId="0" fillId="10" borderId="19" xfId="0" applyNumberFormat="1" applyFill="1" applyBorder="1" applyAlignment="1">
      <alignment vertical="center"/>
    </xf>
    <xf numFmtId="165" fontId="0" fillId="10" borderId="1" xfId="0" applyNumberFormat="1" applyFill="1" applyBorder="1" applyAlignment="1">
      <alignment vertical="center"/>
    </xf>
    <xf numFmtId="165" fontId="0" fillId="10" borderId="1" xfId="1" applyNumberFormat="1" applyFont="1" applyFill="1" applyBorder="1" applyAlignment="1">
      <alignment horizontal="center" vertical="center"/>
    </xf>
    <xf numFmtId="165" fontId="0" fillId="10" borderId="10" xfId="0" applyNumberFormat="1" applyFill="1" applyBorder="1" applyAlignment="1">
      <alignment vertical="center"/>
    </xf>
    <xf numFmtId="165" fontId="0" fillId="10" borderId="1" xfId="1" applyNumberFormat="1" applyFont="1" applyFill="1" applyBorder="1" applyAlignment="1">
      <alignment vertical="center"/>
    </xf>
    <xf numFmtId="165" fontId="0" fillId="10" borderId="20" xfId="0" applyNumberFormat="1" applyFill="1" applyBorder="1" applyAlignment="1">
      <alignment vertical="center"/>
    </xf>
    <xf numFmtId="165" fontId="0" fillId="10" borderId="12" xfId="1" applyNumberFormat="1" applyFont="1" applyFill="1" applyBorder="1" applyAlignment="1">
      <alignment vertical="center"/>
    </xf>
    <xf numFmtId="44" fontId="0" fillId="0" borderId="18" xfId="0" applyNumberFormat="1" applyBorder="1" applyAlignment="1">
      <alignment vertical="center"/>
    </xf>
    <xf numFmtId="44" fontId="0" fillId="0" borderId="20" xfId="0" applyNumberFormat="1" applyBorder="1" applyAlignment="1">
      <alignment vertical="center"/>
    </xf>
    <xf numFmtId="0" fontId="0" fillId="14" borderId="40" xfId="0" applyFill="1" applyBorder="1" applyAlignment="1">
      <alignment vertical="center"/>
    </xf>
    <xf numFmtId="165" fontId="0" fillId="14" borderId="45" xfId="0" applyNumberFormat="1" applyFill="1" applyBorder="1" applyAlignment="1">
      <alignment vertical="center"/>
    </xf>
    <xf numFmtId="165" fontId="0" fillId="14" borderId="46" xfId="0" applyNumberFormat="1" applyFill="1" applyBorder="1" applyAlignment="1">
      <alignment vertical="center"/>
    </xf>
    <xf numFmtId="165" fontId="0" fillId="14" borderId="37" xfId="1" applyNumberFormat="1" applyFont="1" applyFill="1" applyBorder="1" applyAlignment="1">
      <alignment horizontal="center" vertical="center"/>
    </xf>
    <xf numFmtId="165" fontId="0" fillId="14" borderId="22" xfId="0" applyNumberFormat="1" applyFill="1" applyBorder="1" applyAlignment="1">
      <alignment vertical="center"/>
    </xf>
    <xf numFmtId="165" fontId="0" fillId="14" borderId="21" xfId="1" applyNumberFormat="1" applyFont="1" applyFill="1" applyBorder="1" applyAlignment="1">
      <alignment vertical="center"/>
    </xf>
    <xf numFmtId="165" fontId="0" fillId="14" borderId="21" xfId="0" applyNumberFormat="1" applyFill="1" applyBorder="1" applyAlignment="1">
      <alignment vertical="center"/>
    </xf>
    <xf numFmtId="165" fontId="0" fillId="14" borderId="37" xfId="0" applyNumberFormat="1" applyFill="1" applyBorder="1" applyAlignment="1">
      <alignment vertical="center"/>
    </xf>
    <xf numFmtId="0" fontId="12" fillId="0" borderId="49" xfId="0" applyFont="1" applyBorder="1" applyAlignment="1">
      <alignment vertical="center"/>
    </xf>
    <xf numFmtId="165" fontId="12" fillId="0" borderId="25" xfId="0" applyNumberFormat="1" applyFont="1" applyBorder="1" applyAlignment="1">
      <alignment vertical="center"/>
    </xf>
    <xf numFmtId="165" fontId="12" fillId="0" borderId="56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165" fontId="12" fillId="0" borderId="21" xfId="1" applyNumberFormat="1" applyFont="1" applyBorder="1" applyAlignment="1">
      <alignment vertical="center"/>
    </xf>
    <xf numFmtId="165" fontId="12" fillId="0" borderId="22" xfId="0" applyNumberFormat="1" applyFont="1" applyBorder="1" applyAlignment="1">
      <alignment vertical="center"/>
    </xf>
    <xf numFmtId="0" fontId="0" fillId="15" borderId="0" xfId="0" applyFill="1"/>
    <xf numFmtId="165" fontId="0" fillId="15" borderId="0" xfId="0" applyNumberFormat="1" applyFill="1"/>
    <xf numFmtId="0" fontId="9" fillId="15" borderId="0" xfId="0" applyFont="1" applyFill="1"/>
    <xf numFmtId="165" fontId="9" fillId="15" borderId="0" xfId="0" applyNumberFormat="1" applyFont="1" applyFill="1"/>
    <xf numFmtId="0" fontId="0" fillId="15" borderId="0" xfId="0" applyFill="1" applyAlignment="1">
      <alignment vertical="center"/>
    </xf>
    <xf numFmtId="1" fontId="0" fillId="0" borderId="0" xfId="0" applyNumberFormat="1"/>
    <xf numFmtId="0" fontId="0" fillId="0" borderId="13" xfId="0" applyBorder="1" applyAlignment="1">
      <alignment horizontal="right"/>
    </xf>
    <xf numFmtId="9" fontId="0" fillId="3" borderId="0" xfId="0" applyNumberFormat="1" applyFill="1" applyAlignment="1">
      <alignment horizontal="center"/>
    </xf>
    <xf numFmtId="0" fontId="3" fillId="0" borderId="14" xfId="0" applyFont="1" applyBorder="1" applyAlignment="1">
      <alignment horizontal="center"/>
    </xf>
    <xf numFmtId="0" fontId="10" fillId="0" borderId="13" xfId="0" applyFont="1" applyBorder="1"/>
    <xf numFmtId="165" fontId="10" fillId="0" borderId="0" xfId="0" applyNumberFormat="1" applyFont="1"/>
    <xf numFmtId="0" fontId="11" fillId="0" borderId="14" xfId="0" applyFont="1" applyBorder="1"/>
    <xf numFmtId="0" fontId="10" fillId="11" borderId="13" xfId="0" applyFont="1" applyFill="1" applyBorder="1" applyAlignment="1">
      <alignment horizontal="left"/>
    </xf>
    <xf numFmtId="0" fontId="0" fillId="0" borderId="57" xfId="0" applyBorder="1"/>
    <xf numFmtId="0" fontId="0" fillId="0" borderId="44" xfId="0" applyBorder="1"/>
    <xf numFmtId="164" fontId="0" fillId="0" borderId="0" xfId="0" applyNumberFormat="1"/>
    <xf numFmtId="165" fontId="3" fillId="12" borderId="0" xfId="0" applyNumberFormat="1" applyFont="1" applyFill="1"/>
    <xf numFmtId="0" fontId="3" fillId="12" borderId="14" xfId="0" applyFont="1" applyFill="1" applyBorder="1"/>
    <xf numFmtId="0" fontId="0" fillId="0" borderId="13" xfId="0" applyBorder="1" applyAlignment="1">
      <alignment horizontal="left"/>
    </xf>
    <xf numFmtId="0" fontId="7" fillId="0" borderId="14" xfId="0" applyFont="1" applyBorder="1"/>
    <xf numFmtId="165" fontId="0" fillId="0" borderId="13" xfId="0" applyNumberFormat="1" applyBorder="1"/>
    <xf numFmtId="0" fontId="3" fillId="0" borderId="13" xfId="0" applyFont="1" applyBorder="1"/>
    <xf numFmtId="0" fontId="9" fillId="0" borderId="13" xfId="0" applyFont="1" applyBorder="1" applyAlignment="1">
      <alignment horizontal="right"/>
    </xf>
    <xf numFmtId="169" fontId="9" fillId="0" borderId="14" xfId="2" applyNumberFormat="1" applyFont="1" applyBorder="1"/>
    <xf numFmtId="0" fontId="0" fillId="15" borderId="13" xfId="0" applyFill="1" applyBorder="1"/>
    <xf numFmtId="0" fontId="0" fillId="15" borderId="14" xfId="0" applyFill="1" applyBorder="1"/>
    <xf numFmtId="0" fontId="9" fillId="15" borderId="13" xfId="0" applyFont="1" applyFill="1" applyBorder="1" applyAlignment="1">
      <alignment horizontal="right"/>
    </xf>
    <xf numFmtId="165" fontId="0" fillId="15" borderId="0" xfId="1" applyNumberFormat="1" applyFont="1" applyFill="1" applyBorder="1"/>
    <xf numFmtId="9" fontId="0" fillId="15" borderId="14" xfId="2" applyFont="1" applyFill="1" applyBorder="1"/>
    <xf numFmtId="1" fontId="0" fillId="0" borderId="13" xfId="0" applyNumberFormat="1" applyBorder="1"/>
    <xf numFmtId="169" fontId="0" fillId="0" borderId="16" xfId="0" applyNumberFormat="1" applyBorder="1"/>
    <xf numFmtId="0" fontId="0" fillId="15" borderId="60" xfId="0" applyFill="1" applyBorder="1"/>
    <xf numFmtId="0" fontId="0" fillId="15" borderId="61" xfId="0" applyFill="1" applyBorder="1"/>
    <xf numFmtId="0" fontId="0" fillId="15" borderId="62" xfId="0" applyFill="1" applyBorder="1"/>
    <xf numFmtId="0" fontId="0" fillId="15" borderId="15" xfId="0" applyFill="1" applyBorder="1"/>
    <xf numFmtId="0" fontId="0" fillId="15" borderId="27" xfId="0" applyFill="1" applyBorder="1"/>
    <xf numFmtId="0" fontId="0" fillId="15" borderId="16" xfId="0" applyFill="1" applyBorder="1"/>
    <xf numFmtId="9" fontId="0" fillId="0" borderId="0" xfId="0" applyNumberFormat="1" applyAlignment="1">
      <alignment horizontal="center"/>
    </xf>
    <xf numFmtId="165" fontId="0" fillId="0" borderId="0" xfId="1" applyNumberFormat="1" applyFont="1" applyFill="1" applyBorder="1"/>
    <xf numFmtId="0" fontId="10" fillId="0" borderId="13" xfId="0" applyFont="1" applyBorder="1" applyAlignment="1">
      <alignment horizontal="left"/>
    </xf>
    <xf numFmtId="165" fontId="10" fillId="0" borderId="0" xfId="1" applyNumberFormat="1" applyFont="1" applyFill="1" applyBorder="1"/>
    <xf numFmtId="165" fontId="3" fillId="0" borderId="0" xfId="0" applyNumberFormat="1" applyFont="1"/>
    <xf numFmtId="0" fontId="3" fillId="0" borderId="14" xfId="0" applyFont="1" applyBorder="1"/>
    <xf numFmtId="44" fontId="0" fillId="0" borderId="0" xfId="1" applyFon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1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8" borderId="58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9" xfId="0" applyFont="1" applyFill="1" applyBorder="1" applyAlignment="1">
      <alignment horizontal="center"/>
    </xf>
    <xf numFmtId="44" fontId="8" fillId="13" borderId="29" xfId="1" applyFont="1" applyFill="1" applyBorder="1" applyAlignment="1">
      <alignment horizontal="center"/>
    </xf>
    <xf numFmtId="44" fontId="8" fillId="13" borderId="30" xfId="1" applyFont="1" applyFill="1" applyBorder="1" applyAlignment="1">
      <alignment horizontal="center"/>
    </xf>
    <xf numFmtId="44" fontId="8" fillId="13" borderId="31" xfId="1" applyFont="1" applyFill="1" applyBorder="1" applyAlignment="1">
      <alignment horizontal="center"/>
    </xf>
    <xf numFmtId="0" fontId="8" fillId="13" borderId="29" xfId="0" applyFont="1" applyFill="1" applyBorder="1" applyAlignment="1">
      <alignment horizontal="center"/>
    </xf>
    <xf numFmtId="0" fontId="8" fillId="13" borderId="30" xfId="0" applyFont="1" applyFill="1" applyBorder="1" applyAlignment="1">
      <alignment horizontal="center"/>
    </xf>
    <xf numFmtId="0" fontId="8" fillId="13" borderId="31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 COUT DE PROD CH4</a:t>
            </a:r>
          </a:p>
        </c:rich>
      </c:tx>
      <c:layout>
        <c:manualLayout>
          <c:xMode val="edge"/>
          <c:yMode val="edge"/>
          <c:x val="1.4688758067104854E-3"/>
          <c:y val="1.184514278358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1078606774966225"/>
          <c:y val="0.11939884810182914"/>
          <c:w val="0.49861908364501711"/>
          <c:h val="0.791548425809854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E-4EFD-AAE6-D12D1BE73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4-4DC2-ABB6-57344C075D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DE-4EFD-AAE6-D12D1BE73C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LCOH!$A$59:$A$61</c:f>
              <c:strCache>
                <c:ptCount val="3"/>
                <c:pt idx="0">
                  <c:v>Invest</c:v>
                </c:pt>
                <c:pt idx="1">
                  <c:v>OPEX</c:v>
                </c:pt>
                <c:pt idx="2">
                  <c:v>Maintenance</c:v>
                </c:pt>
              </c:strCache>
            </c:strRef>
          </c:cat>
          <c:val>
            <c:numRef>
              <c:f>LCOH!$C$59:$C$61</c:f>
              <c:numCache>
                <c:formatCode>0%</c:formatCode>
                <c:ptCount val="3"/>
                <c:pt idx="0">
                  <c:v>0.28914410742507457</c:v>
                </c:pt>
                <c:pt idx="1">
                  <c:v>0.66439066402992308</c:v>
                </c:pt>
                <c:pt idx="2">
                  <c:v>4.646522854500227E-2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4-4DC2-ABB6-57344C07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59546185759038"/>
          <c:y val="4.5345682570284325E-2"/>
          <c:w val="0.56145800524934386"/>
          <c:h val="0.935763342082239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A-4FB6-9378-7636DFF03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BA-4FB6-9378-7636DFF03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BA-4FB6-9378-7636DFF03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 H2'!$A$58:$A$60</c:f>
              <c:strCache>
                <c:ptCount val="3"/>
                <c:pt idx="0">
                  <c:v>Investissement</c:v>
                </c:pt>
                <c:pt idx="1">
                  <c:v>OPEX</c:v>
                </c:pt>
                <c:pt idx="2">
                  <c:v>Maintenance</c:v>
                </c:pt>
              </c:strCache>
            </c:strRef>
          </c:cat>
          <c:val>
            <c:numRef>
              <c:f>'PROD H2'!$B$58:$B$60</c:f>
              <c:numCache>
                <c:formatCode>0%</c:formatCode>
                <c:ptCount val="3"/>
                <c:pt idx="0">
                  <c:v>0.21090918236523529</c:v>
                </c:pt>
                <c:pt idx="1">
                  <c:v>0.75935608044884617</c:v>
                </c:pt>
                <c:pt idx="2">
                  <c:v>2.9734737185918417E-2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5-4103-A5E9-A3DA88D9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5931707494896471"/>
          <c:w val="0.2663893263342082"/>
          <c:h val="0.3512736949547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729676839892724"/>
          <c:y val="0.16154750656167982"/>
          <c:w val="0.5210099205200871"/>
          <c:h val="0.791190701162354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D-4D54-9E6D-F7DB1E223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D-4D54-9E6D-F7DB1E223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1D-4D54-9E6D-F7DB1E223300}"/>
              </c:ext>
            </c:extLst>
          </c:dPt>
          <c:dLbls>
            <c:dLbl>
              <c:idx val="0"/>
              <c:layout>
                <c:manualLayout>
                  <c:x val="1.5051741844059609E-2"/>
                  <c:y val="-7.6190476190476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D-4D54-9E6D-F7DB1E223300}"/>
                </c:ext>
              </c:extLst>
            </c:dLbl>
            <c:dLbl>
              <c:idx val="2"/>
              <c:layout>
                <c:manualLayout>
                  <c:x val="5.7698343735561833E-2"/>
                  <c:y val="-1.90476190476190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D-4D54-9E6D-F7DB1E22330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LCOH!$A$59:$A$61</c:f>
              <c:strCache>
                <c:ptCount val="3"/>
                <c:pt idx="0">
                  <c:v>Invest</c:v>
                </c:pt>
                <c:pt idx="1">
                  <c:v>OPEX</c:v>
                </c:pt>
                <c:pt idx="2">
                  <c:v>Maintenance</c:v>
                </c:pt>
              </c:strCache>
            </c:strRef>
          </c:cat>
          <c:val>
            <c:numRef>
              <c:f>LCOH!$F$59:$F$61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3A1D-4D54-9E6D-F7DB1E22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418606846806019"/>
          <c:y val="0.13761709363794314"/>
          <c:w val="0.50592061783643949"/>
          <c:h val="0.792371446526930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75-42D0-A516-3D04C775E8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5-42D0-A516-3D04C775E8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75-42D0-A516-3D04C775E811}"/>
              </c:ext>
            </c:extLst>
          </c:dPt>
          <c:dLbls>
            <c:dLbl>
              <c:idx val="2"/>
              <c:layout>
                <c:manualLayout>
                  <c:x val="5.2757793764988008E-2"/>
                  <c:y val="-7.51173708920188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75-42D0-A516-3D04C775E81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LCOH!$A$59:$A$61</c:f>
              <c:strCache>
                <c:ptCount val="3"/>
                <c:pt idx="0">
                  <c:v>Invest</c:v>
                </c:pt>
                <c:pt idx="1">
                  <c:v>OPEX</c:v>
                </c:pt>
                <c:pt idx="2">
                  <c:v>Maintenance</c:v>
                </c:pt>
              </c:strCache>
            </c:strRef>
          </c:cat>
          <c:val>
            <c:numRef>
              <c:f>LCOH!$I$59:$I$61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A675-42D0-A516-3D04C775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 COUTS</a:t>
            </a:r>
            <a:r>
              <a:rPr lang="en-US" baseline="0"/>
              <a:t> OPEX</a:t>
            </a:r>
            <a:endParaRPr lang="en-US"/>
          </a:p>
        </c:rich>
      </c:tx>
      <c:layout>
        <c:manualLayout>
          <c:xMode val="edge"/>
          <c:yMode val="edge"/>
          <c:x val="1.7056084842209888E-2"/>
          <c:y val="3.065144946769296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48998123794889"/>
          <c:y val="0.15769146834173819"/>
          <c:w val="0.52148023807035881"/>
          <c:h val="0.809245771328502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80-4750-91CF-B0EB13DACE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0-4750-91CF-B0EB13DACE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80-4750-91CF-B0EB13DACE00}"/>
              </c:ext>
            </c:extLst>
          </c:dPt>
          <c:dLbls>
            <c:dLbl>
              <c:idx val="0"/>
              <c:layout>
                <c:manualLayout>
                  <c:x val="6.6965626634240855E-2"/>
                  <c:y val="-2.99625468164794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80-4750-91CF-B0EB13DACE0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LCOH!$A$77:$A$79</c:f>
              <c:strCache>
                <c:ptCount val="3"/>
                <c:pt idx="0">
                  <c:v>Elec</c:v>
                </c:pt>
                <c:pt idx="1">
                  <c:v>CO2</c:v>
                </c:pt>
                <c:pt idx="2">
                  <c:v>H2O</c:v>
                </c:pt>
              </c:strCache>
            </c:strRef>
          </c:cat>
          <c:val>
            <c:numRef>
              <c:f>LCOH!$C$77:$C$79</c:f>
              <c:numCache>
                <c:formatCode>0%</c:formatCode>
                <c:ptCount val="3"/>
                <c:pt idx="0">
                  <c:v>0.95397553783973499</c:v>
                </c:pt>
                <c:pt idx="1">
                  <c:v>1.5776978498124608E-2</c:v>
                </c:pt>
                <c:pt idx="2">
                  <c:v>3.0247483662140296E-2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80-4750-91CF-B0EB13DA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 COUTS</a:t>
            </a:r>
            <a:r>
              <a:rPr lang="en-US" baseline="0"/>
              <a:t> INVEST</a:t>
            </a:r>
            <a:endParaRPr lang="en-US"/>
          </a:p>
        </c:rich>
      </c:tx>
      <c:layout>
        <c:manualLayout>
          <c:xMode val="edge"/>
          <c:yMode val="edge"/>
          <c:x val="1.9421912530331386E-2"/>
          <c:y val="2.94663167104111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538434555748601"/>
          <c:y val="0.15445319335083116"/>
          <c:w val="0.52148023807035881"/>
          <c:h val="0.809245771328502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69-494D-B21F-6A032651F7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69-494D-B21F-6A032651F7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69-494D-B21F-6A032651F7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69-494D-B21F-6A032651F7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659591623725415E-2"/>
                      <c:h val="9.81561241977701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E69-494D-B21F-6A032651F758}"/>
                </c:ext>
              </c:extLst>
            </c:dLbl>
            <c:dLbl>
              <c:idx val="3"/>
              <c:layout>
                <c:manualLayout>
                  <c:x val="-7.2750085579621537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69-494D-B21F-6A032651F7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LCOH!$A$42:$A$45</c:f>
              <c:strCache>
                <c:ptCount val="4"/>
                <c:pt idx="0">
                  <c:v>Site</c:v>
                </c:pt>
                <c:pt idx="1">
                  <c:v>Prod H2</c:v>
                </c:pt>
                <c:pt idx="2">
                  <c:v>Methanation</c:v>
                </c:pt>
                <c:pt idx="3">
                  <c:v>Appro CO2</c:v>
                </c:pt>
              </c:strCache>
            </c:strRef>
          </c:cat>
          <c:val>
            <c:numRef>
              <c:f>LCOH!$C$42:$C$45</c:f>
              <c:numCache>
                <c:formatCode>0.0%</c:formatCode>
                <c:ptCount val="4"/>
                <c:pt idx="0">
                  <c:v>2.1280189157236954E-2</c:v>
                </c:pt>
                <c:pt idx="1">
                  <c:v>0.61813882790069241</c:v>
                </c:pt>
                <c:pt idx="2">
                  <c:v>0.33946968417497042</c:v>
                </c:pt>
                <c:pt idx="3">
                  <c:v>2.1111298767100151E-2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69-494D-B21F-6A032651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 COUTS</a:t>
            </a:r>
            <a:r>
              <a:rPr lang="en-US" baseline="0"/>
              <a:t> INVEST</a:t>
            </a:r>
            <a:endParaRPr lang="en-US"/>
          </a:p>
        </c:rich>
      </c:tx>
      <c:layout>
        <c:manualLayout>
          <c:xMode val="edge"/>
          <c:yMode val="edge"/>
          <c:x val="1.4079502036232032E-2"/>
          <c:y val="1.94258437242086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848849302237197"/>
          <c:y val="0.15148654576818127"/>
          <c:w val="0.52148023807035881"/>
          <c:h val="0.809245771328502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1-4257-A5D0-19AAA8F411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1-4257-A5D0-19AAA8F411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1-4257-A5D0-19AAA8F411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1-4257-A5D0-19AAA8F411F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LCOH!$A$42:$A$45</c:f>
              <c:strCache>
                <c:ptCount val="4"/>
                <c:pt idx="0">
                  <c:v>Site</c:v>
                </c:pt>
                <c:pt idx="1">
                  <c:v>Prod H2</c:v>
                </c:pt>
                <c:pt idx="2">
                  <c:v>Methanation</c:v>
                </c:pt>
                <c:pt idx="3">
                  <c:v>Appro CO2</c:v>
                </c:pt>
              </c:strCache>
            </c:strRef>
          </c:cat>
          <c:val>
            <c:numRef>
              <c:f>LCOH!$F$42:$F$45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541-4257-A5D0-19AAA8F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 COUTS</a:t>
            </a:r>
            <a:r>
              <a:rPr lang="en-US" baseline="0"/>
              <a:t> INVEST</a:t>
            </a:r>
            <a:endParaRPr lang="en-US"/>
          </a:p>
        </c:rich>
      </c:tx>
      <c:layout>
        <c:manualLayout>
          <c:xMode val="edge"/>
          <c:yMode val="edge"/>
          <c:x val="1.2208178989984437E-2"/>
          <c:y val="2.56998383676616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757411791144552"/>
          <c:y val="0.17328558506457878"/>
          <c:w val="0.52148023807035881"/>
          <c:h val="0.809245771328502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B-4923-8C5C-EA203D1E2C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B-4923-8C5C-EA203D1E2C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B-4923-8C5C-EA203D1E2C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DB-4923-8C5C-EA203D1E2C26}"/>
              </c:ext>
            </c:extLst>
          </c:dPt>
          <c:dLbls>
            <c:dLbl>
              <c:idx val="3"/>
              <c:layout>
                <c:manualLayout>
                  <c:x val="-0.1354656765965365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DB-4923-8C5C-EA203D1E2C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LCOH!$A$42:$A$45</c:f>
              <c:strCache>
                <c:ptCount val="4"/>
                <c:pt idx="0">
                  <c:v>Site</c:v>
                </c:pt>
                <c:pt idx="1">
                  <c:v>Prod H2</c:v>
                </c:pt>
                <c:pt idx="2">
                  <c:v>Methanation</c:v>
                </c:pt>
                <c:pt idx="3">
                  <c:v>Appro CO2</c:v>
                </c:pt>
              </c:strCache>
            </c:strRef>
          </c:cat>
          <c:val>
            <c:numRef>
              <c:f>LCOH!$I$42:$I$45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09DB-4923-8C5C-EA203D1E2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 COUTS</a:t>
            </a:r>
            <a:r>
              <a:rPr lang="en-US" baseline="0"/>
              <a:t> OPEX</a:t>
            </a:r>
            <a:endParaRPr lang="en-US"/>
          </a:p>
        </c:rich>
      </c:tx>
      <c:layout>
        <c:manualLayout>
          <c:xMode val="edge"/>
          <c:yMode val="edge"/>
          <c:x val="1.6597596353087444E-2"/>
          <c:y val="3.94502236516210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23249067550767"/>
          <c:y val="0.17445802373294889"/>
          <c:w val="0.52148023807035881"/>
          <c:h val="0.809245771328502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E-48A2-9987-27168E95F4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BE-48A2-9987-27168E95F4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BE-48A2-9987-27168E95F4A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LCOH!$A$77:$A$79</c:f>
              <c:strCache>
                <c:ptCount val="3"/>
                <c:pt idx="0">
                  <c:v>Elec</c:v>
                </c:pt>
                <c:pt idx="1">
                  <c:v>CO2</c:v>
                </c:pt>
                <c:pt idx="2">
                  <c:v>H2O</c:v>
                </c:pt>
              </c:strCache>
            </c:strRef>
          </c:cat>
          <c:val>
            <c:numRef>
              <c:f>LCOH!$F$77:$F$79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CEBE-48A2-9987-27168E95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 COUTS</a:t>
            </a:r>
            <a:r>
              <a:rPr lang="en-US" baseline="0"/>
              <a:t> OPEX</a:t>
            </a:r>
            <a:endParaRPr lang="en-US"/>
          </a:p>
        </c:rich>
      </c:tx>
      <c:layout>
        <c:manualLayout>
          <c:xMode val="edge"/>
          <c:yMode val="edge"/>
          <c:x val="1.4653679959663929E-2"/>
          <c:y val="3.699898779571680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6759213446616"/>
          <c:y val="0.16562604078652396"/>
          <c:w val="0.52148023807035881"/>
          <c:h val="0.809245771328502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04D-9E0B-180D69CBD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04D-9E0B-180D69CBD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04D-9E0B-180D69CBDBD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LCOH!$A$77:$A$79</c:f>
              <c:strCache>
                <c:ptCount val="3"/>
                <c:pt idx="0">
                  <c:v>Elec</c:v>
                </c:pt>
                <c:pt idx="1">
                  <c:v>CO2</c:v>
                </c:pt>
                <c:pt idx="2">
                  <c:v>H2O</c:v>
                </c:pt>
              </c:strCache>
            </c:strRef>
          </c:cat>
          <c:val>
            <c:numRef>
              <c:f>LCOH!$I$77:$I$79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E02C-404D-9E0B-180D69CB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57</xdr:row>
      <xdr:rowOff>33336</xdr:rowOff>
    </xdr:from>
    <xdr:to>
      <xdr:col>2</xdr:col>
      <xdr:colOff>981075</xdr:colOff>
      <xdr:row>74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5C04DD-772E-8556-6251-FE22A06A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57</xdr:row>
      <xdr:rowOff>9524</xdr:rowOff>
    </xdr:from>
    <xdr:to>
      <xdr:col>5</xdr:col>
      <xdr:colOff>976312</xdr:colOff>
      <xdr:row>74</xdr:row>
      <xdr:rowOff>171449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08CC300-AB24-47A3-A171-58EB3245B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19051</xdr:colOff>
      <xdr:row>57</xdr:row>
      <xdr:rowOff>19050</xdr:rowOff>
    </xdr:from>
    <xdr:to>
      <xdr:col>8</xdr:col>
      <xdr:colOff>1219201</xdr:colOff>
      <xdr:row>74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7667D7F-9466-4104-A695-D305C5BD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75</xdr:row>
      <xdr:rowOff>19050</xdr:rowOff>
    </xdr:from>
    <xdr:to>
      <xdr:col>2</xdr:col>
      <xdr:colOff>995362</xdr:colOff>
      <xdr:row>92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8FD3B6B-DBB4-479C-A0A9-B975886D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93</xdr:row>
      <xdr:rowOff>28575</xdr:rowOff>
    </xdr:from>
    <xdr:to>
      <xdr:col>2</xdr:col>
      <xdr:colOff>976312</xdr:colOff>
      <xdr:row>110</xdr:row>
      <xdr:rowOff>161925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79B4C7E-39EF-4518-90D5-D3472B4A8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28575</xdr:colOff>
      <xdr:row>93</xdr:row>
      <xdr:rowOff>28574</xdr:rowOff>
    </xdr:from>
    <xdr:to>
      <xdr:col>5</xdr:col>
      <xdr:colOff>985837</xdr:colOff>
      <xdr:row>110</xdr:row>
      <xdr:rowOff>152399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7D0A477-6D5D-4120-8303-C26A83982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28576</xdr:colOff>
      <xdr:row>93</xdr:row>
      <xdr:rowOff>38100</xdr:rowOff>
    </xdr:from>
    <xdr:to>
      <xdr:col>8</xdr:col>
      <xdr:colOff>1219200</xdr:colOff>
      <xdr:row>110</xdr:row>
      <xdr:rowOff>171450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BCEE0E2-06AB-4EF6-81BC-41345C45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28576</xdr:colOff>
      <xdr:row>75</xdr:row>
      <xdr:rowOff>19050</xdr:rowOff>
    </xdr:from>
    <xdr:to>
      <xdr:col>5</xdr:col>
      <xdr:colOff>990601</xdr:colOff>
      <xdr:row>92</xdr:row>
      <xdr:rowOff>161925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A0A6B79-2805-46AA-871E-C328FB7B0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28574</xdr:colOff>
      <xdr:row>75</xdr:row>
      <xdr:rowOff>19050</xdr:rowOff>
    </xdr:from>
    <xdr:to>
      <xdr:col>8</xdr:col>
      <xdr:colOff>1238249</xdr:colOff>
      <xdr:row>92</xdr:row>
      <xdr:rowOff>152399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8AA910C-905C-40EF-87B4-3766126BA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0.00128</cdr:y>
    </cdr:from>
    <cdr:to>
      <cdr:x>0.50819</cdr:x>
      <cdr:y>0.11714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245B8FC-F4F1-8631-E2A1-0065D8586D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4263"/>
          <a:ext cx="2572735" cy="38626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0.00808</cdr:y>
    </cdr:from>
    <cdr:to>
      <cdr:x>0.4858</cdr:x>
      <cdr:y>0.12394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E6174B62-B2DE-3022-7251-3371C20A3D0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27320"/>
          <a:ext cx="2572735" cy="39178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247650</xdr:rowOff>
    </xdr:from>
    <xdr:to>
      <xdr:col>11</xdr:col>
      <xdr:colOff>228601</xdr:colOff>
      <xdr:row>11</xdr:row>
      <xdr:rowOff>28575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7A5AB6B6-7FE3-1684-A416-32F7BA9E0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7" t="817" r="38410" b="60043"/>
        <a:stretch/>
      </xdr:blipFill>
      <xdr:spPr>
        <a:xfrm>
          <a:off x="6467475" y="247650"/>
          <a:ext cx="7429501" cy="228600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0</xdr:colOff>
      <xdr:row>43</xdr:row>
      <xdr:rowOff>180975</xdr:rowOff>
    </xdr:from>
    <xdr:to>
      <xdr:col>8</xdr:col>
      <xdr:colOff>552450</xdr:colOff>
      <xdr:row>60</xdr:row>
      <xdr:rowOff>14287</xdr:rowOff>
    </xdr:to>
    <xdr:graphicFrame macro="">
      <xdr:nvGraphicFramePr>
        <xdr:cNvPr id="41" name="Graphique 40">
          <a:extLst>
            <a:ext uri="{FF2B5EF4-FFF2-40B4-BE49-F238E27FC236}">
              <a16:creationId xmlns:a16="http://schemas.microsoft.com/office/drawing/2014/main" id="{D6813C80-E49A-4C86-2F95-3A939BD3B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9524</xdr:colOff>
      <xdr:row>0</xdr:row>
      <xdr:rowOff>0</xdr:rowOff>
    </xdr:from>
    <xdr:to>
      <xdr:col>8</xdr:col>
      <xdr:colOff>2610417</xdr:colOff>
      <xdr:row>14</xdr:row>
      <xdr:rowOff>57150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F8DBC57-36D0-4D9F-9E5A-78CC29E7F0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8124" t="818" r="-177" b="60554"/>
        <a:stretch/>
      </xdr:blipFill>
      <xdr:spPr>
        <a:xfrm>
          <a:off x="6143624" y="0"/>
          <a:ext cx="7096693" cy="31242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514349</xdr:colOff>
      <xdr:row>0</xdr:row>
      <xdr:rowOff>0</xdr:rowOff>
    </xdr:from>
    <xdr:to>
      <xdr:col>8</xdr:col>
      <xdr:colOff>257175</xdr:colOff>
      <xdr:row>14</xdr:row>
      <xdr:rowOff>93231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24C5A9-ACF1-4119-BEA7-0A39FD486E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5869" t="34302" r="-58" b="28643"/>
        <a:stretch/>
      </xdr:blipFill>
      <xdr:spPr>
        <a:xfrm>
          <a:off x="6276974" y="0"/>
          <a:ext cx="4772026" cy="316028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nadevia-inova.com/wiki/hzi-catalytic-methan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06BD-310B-48D0-9B5F-FB910EFF5CCE}">
  <sheetPr>
    <tabColor rgb="FF00B0F0"/>
  </sheetPr>
  <dimension ref="A1:N131"/>
  <sheetViews>
    <sheetView tabSelected="1" workbookViewId="0">
      <selection activeCell="H2" sqref="H2"/>
    </sheetView>
  </sheetViews>
  <sheetFormatPr baseColWidth="10" defaultRowHeight="14.4" outlineLevelRow="1" x14ac:dyDescent="0.3"/>
  <cols>
    <col min="1" max="1" width="49.6640625" customWidth="1"/>
    <col min="2" max="2" width="15.33203125" bestFit="1" customWidth="1"/>
    <col min="3" max="3" width="15.109375" bestFit="1" customWidth="1"/>
    <col min="4" max="4" width="44.88671875" bestFit="1" customWidth="1"/>
    <col min="5" max="5" width="16.6640625" customWidth="1"/>
    <col min="6" max="6" width="15.109375" bestFit="1" customWidth="1"/>
    <col min="7" max="7" width="41.44140625" customWidth="1"/>
    <col min="8" max="8" width="20" customWidth="1"/>
    <col min="9" max="9" width="18.88671875" customWidth="1"/>
    <col min="10" max="10" width="38.5546875" customWidth="1"/>
    <col min="12" max="12" width="16" customWidth="1"/>
  </cols>
  <sheetData>
    <row r="1" spans="1:14" ht="18" x14ac:dyDescent="0.35">
      <c r="A1" s="314" t="s">
        <v>155</v>
      </c>
      <c r="B1" s="315"/>
      <c r="C1" s="316"/>
      <c r="D1" s="317" t="s">
        <v>156</v>
      </c>
      <c r="E1" s="318"/>
      <c r="F1" s="319"/>
      <c r="G1" s="317" t="s">
        <v>167</v>
      </c>
      <c r="H1" s="318"/>
      <c r="I1" s="319"/>
      <c r="J1" s="317" t="s">
        <v>172</v>
      </c>
      <c r="K1" s="318"/>
      <c r="L1" s="319"/>
      <c r="M1" s="258"/>
      <c r="N1" s="258"/>
    </row>
    <row r="2" spans="1:14" x14ac:dyDescent="0.3">
      <c r="A2" s="71" t="s">
        <v>15</v>
      </c>
      <c r="B2" s="79">
        <v>30</v>
      </c>
      <c r="C2" s="72" t="s">
        <v>66</v>
      </c>
      <c r="D2" s="71" t="s">
        <v>169</v>
      </c>
      <c r="E2" s="79">
        <v>20</v>
      </c>
      <c r="F2" s="72" t="s">
        <v>9</v>
      </c>
      <c r="G2" s="71" t="s">
        <v>157</v>
      </c>
      <c r="H2" s="79">
        <v>5</v>
      </c>
      <c r="I2" s="72" t="s">
        <v>5</v>
      </c>
      <c r="J2" s="71" t="s">
        <v>170</v>
      </c>
      <c r="K2" s="80">
        <v>0.05</v>
      </c>
      <c r="L2" s="72" t="s">
        <v>30</v>
      </c>
      <c r="M2" s="258"/>
      <c r="N2" s="258"/>
    </row>
    <row r="3" spans="1:14" x14ac:dyDescent="0.3">
      <c r="A3" s="71" t="s">
        <v>47</v>
      </c>
      <c r="B3" s="79">
        <v>5</v>
      </c>
      <c r="C3" s="72" t="s">
        <v>48</v>
      </c>
      <c r="D3" s="71"/>
      <c r="E3">
        <f>E2*E5</f>
        <v>168560</v>
      </c>
      <c r="F3" s="72" t="s">
        <v>32</v>
      </c>
      <c r="G3" s="71" t="s">
        <v>173</v>
      </c>
      <c r="H3" s="79"/>
      <c r="I3" s="72" t="s">
        <v>5</v>
      </c>
      <c r="J3" s="71" t="s">
        <v>59</v>
      </c>
      <c r="K3" s="79">
        <v>10</v>
      </c>
      <c r="L3" s="72" t="s">
        <v>9</v>
      </c>
      <c r="M3" s="258"/>
      <c r="N3" s="258"/>
    </row>
    <row r="4" spans="1:14" x14ac:dyDescent="0.3">
      <c r="A4" s="71" t="s">
        <v>141</v>
      </c>
      <c r="B4" s="79">
        <v>0.2</v>
      </c>
      <c r="C4" s="72" t="s">
        <v>71</v>
      </c>
      <c r="D4" s="71" t="s">
        <v>27</v>
      </c>
      <c r="E4" s="80">
        <v>0.98</v>
      </c>
      <c r="F4" s="72"/>
      <c r="G4" s="71"/>
      <c r="H4" s="76"/>
      <c r="I4" s="72"/>
      <c r="J4" s="71" t="s">
        <v>204</v>
      </c>
      <c r="K4" s="111">
        <v>100</v>
      </c>
      <c r="L4" s="72" t="s">
        <v>266</v>
      </c>
      <c r="M4" s="258"/>
      <c r="N4" s="258"/>
    </row>
    <row r="5" spans="1:14" x14ac:dyDescent="0.3">
      <c r="A5" s="71" t="s">
        <v>154</v>
      </c>
      <c r="B5" s="79">
        <v>0</v>
      </c>
      <c r="C5" s="72" t="s">
        <v>71</v>
      </c>
      <c r="D5" s="71"/>
      <c r="E5">
        <f>8600*E4</f>
        <v>8428</v>
      </c>
      <c r="F5" s="72" t="s">
        <v>174</v>
      </c>
      <c r="G5" s="71"/>
      <c r="I5" s="72"/>
      <c r="J5" s="71" t="s">
        <v>206</v>
      </c>
      <c r="K5" s="79">
        <v>32</v>
      </c>
      <c r="L5" s="72" t="s">
        <v>207</v>
      </c>
      <c r="M5" s="258"/>
      <c r="N5" s="258"/>
    </row>
    <row r="6" spans="1:14" x14ac:dyDescent="0.3">
      <c r="D6" s="71" t="s">
        <v>136</v>
      </c>
      <c r="E6" s="79">
        <v>1</v>
      </c>
      <c r="F6" s="72"/>
      <c r="G6" s="71" t="s">
        <v>137</v>
      </c>
      <c r="H6" s="79">
        <v>200</v>
      </c>
      <c r="I6" s="72" t="s">
        <v>138</v>
      </c>
      <c r="J6" s="71" t="s">
        <v>218</v>
      </c>
      <c r="K6" s="79">
        <v>32</v>
      </c>
      <c r="L6" s="72" t="s">
        <v>207</v>
      </c>
      <c r="M6" s="258"/>
      <c r="N6" s="258"/>
    </row>
    <row r="7" spans="1:14" ht="15" thickBot="1" x14ac:dyDescent="0.35">
      <c r="A7" s="73"/>
      <c r="B7" s="74"/>
      <c r="C7" s="75"/>
      <c r="D7" s="73"/>
      <c r="E7" s="74"/>
      <c r="F7" s="75"/>
      <c r="G7" s="73"/>
      <c r="H7" s="74"/>
      <c r="I7" s="75"/>
      <c r="J7" s="73"/>
      <c r="K7" s="74"/>
      <c r="L7" s="75"/>
      <c r="M7" s="258"/>
      <c r="N7" s="258"/>
    </row>
    <row r="8" spans="1:14" ht="15" thickBot="1" x14ac:dyDescent="0.35">
      <c r="A8" s="258"/>
      <c r="B8" s="258"/>
      <c r="C8" s="258"/>
      <c r="D8" s="258"/>
      <c r="E8" s="258"/>
      <c r="F8" s="258"/>
      <c r="G8" s="258"/>
      <c r="H8" s="258"/>
      <c r="I8" s="258"/>
      <c r="J8" s="258"/>
      <c r="K8" s="258"/>
      <c r="L8" s="258"/>
      <c r="M8" s="258"/>
      <c r="N8" s="258"/>
    </row>
    <row r="9" spans="1:14" ht="18.600000000000001" thickBot="1" x14ac:dyDescent="0.4">
      <c r="A9" s="320" t="s">
        <v>208</v>
      </c>
      <c r="B9" s="321"/>
      <c r="C9" s="322"/>
      <c r="D9" s="320"/>
      <c r="E9" s="321"/>
      <c r="F9" s="322"/>
      <c r="G9" s="320"/>
      <c r="H9" s="321"/>
      <c r="I9" s="322"/>
      <c r="J9" s="258"/>
      <c r="K9" s="258"/>
      <c r="L9" s="258"/>
      <c r="M9" s="258"/>
      <c r="N9" s="258"/>
    </row>
    <row r="10" spans="1:14" x14ac:dyDescent="0.3">
      <c r="A10" s="308" t="s">
        <v>214</v>
      </c>
      <c r="B10" s="309"/>
      <c r="C10" s="310"/>
      <c r="D10" s="308"/>
      <c r="E10" s="309"/>
      <c r="F10" s="310"/>
      <c r="G10" s="308"/>
      <c r="H10" s="309"/>
      <c r="I10" s="310"/>
      <c r="J10" s="258"/>
      <c r="K10" s="258"/>
      <c r="L10" s="258"/>
      <c r="M10" s="258"/>
      <c r="N10" s="258"/>
    </row>
    <row r="11" spans="1:14" x14ac:dyDescent="0.3">
      <c r="A11" s="264" t="s">
        <v>210</v>
      </c>
      <c r="B11" s="265">
        <v>0.1</v>
      </c>
      <c r="C11" s="266"/>
      <c r="D11" s="264"/>
      <c r="E11" s="295"/>
      <c r="F11" s="266"/>
      <c r="G11" s="264"/>
      <c r="H11" s="295"/>
      <c r="I11" s="266"/>
      <c r="J11" s="258"/>
      <c r="K11" s="258"/>
      <c r="L11" s="258"/>
      <c r="M11" s="258"/>
      <c r="N11" s="258"/>
    </row>
    <row r="12" spans="1:14" x14ac:dyDescent="0.3">
      <c r="A12" s="71"/>
      <c r="C12" s="72"/>
      <c r="D12" s="71"/>
      <c r="F12" s="72"/>
      <c r="G12" s="71"/>
      <c r="I12" s="72"/>
      <c r="J12" s="258"/>
      <c r="K12" s="258"/>
      <c r="L12" s="258"/>
      <c r="M12" s="258"/>
      <c r="N12" s="258"/>
    </row>
    <row r="13" spans="1:14" ht="15.6" x14ac:dyDescent="0.3">
      <c r="A13" s="267" t="s">
        <v>205</v>
      </c>
      <c r="B13" s="268">
        <f>SUM(B14:B16)</f>
        <v>42864017.875000015</v>
      </c>
      <c r="C13" s="269"/>
      <c r="D13" s="267"/>
      <c r="E13" s="268"/>
      <c r="F13" s="269"/>
      <c r="G13" s="267"/>
      <c r="H13" s="268"/>
      <c r="I13" s="72"/>
      <c r="J13" s="258"/>
      <c r="K13" s="258"/>
      <c r="L13" s="258"/>
      <c r="M13" s="258"/>
      <c r="N13" s="258"/>
    </row>
    <row r="14" spans="1:14" x14ac:dyDescent="0.3">
      <c r="A14" s="264" t="s">
        <v>209</v>
      </c>
      <c r="B14" s="112">
        <f>'MASS BALANCE'!O25*1000*LCOH!K4</f>
        <v>40086991.875000015</v>
      </c>
      <c r="C14" s="72"/>
      <c r="D14" s="264"/>
      <c r="E14" s="296"/>
      <c r="F14" s="72"/>
      <c r="G14" s="264"/>
      <c r="H14" s="296"/>
      <c r="I14" s="72"/>
      <c r="J14" s="258"/>
      <c r="K14" s="258"/>
      <c r="L14" s="258"/>
      <c r="M14" s="258"/>
      <c r="N14" s="258"/>
    </row>
    <row r="15" spans="1:14" x14ac:dyDescent="0.3">
      <c r="A15" s="264" t="s">
        <v>211</v>
      </c>
      <c r="B15" s="112">
        <f>K5*'MASS BALANCE'!N19</f>
        <v>2777026.0000000005</v>
      </c>
      <c r="C15" s="72"/>
      <c r="D15" s="264"/>
      <c r="E15" s="296"/>
      <c r="F15" s="72"/>
      <c r="G15" s="264"/>
      <c r="H15" s="296"/>
      <c r="I15" s="72"/>
      <c r="J15" s="259"/>
      <c r="K15" s="258"/>
      <c r="L15" s="258"/>
      <c r="M15" s="258"/>
      <c r="N15" s="258"/>
    </row>
    <row r="16" spans="1:14" x14ac:dyDescent="0.3">
      <c r="A16" s="264"/>
      <c r="B16" s="112"/>
      <c r="C16" s="72"/>
      <c r="D16" s="264"/>
      <c r="E16" s="296"/>
      <c r="F16" s="72"/>
      <c r="G16" s="264"/>
      <c r="H16" s="296"/>
      <c r="I16" s="72"/>
      <c r="J16" s="258"/>
      <c r="K16" s="258"/>
      <c r="L16" s="258"/>
      <c r="M16" s="258"/>
      <c r="N16" s="258"/>
    </row>
    <row r="17" spans="1:14" ht="15.6" x14ac:dyDescent="0.3">
      <c r="A17" s="267" t="s">
        <v>212</v>
      </c>
      <c r="B17" s="268">
        <f>SUM(B18:B19)</f>
        <v>40955356.501839131</v>
      </c>
      <c r="C17" s="269"/>
      <c r="D17" s="267"/>
      <c r="E17" s="268"/>
      <c r="F17" s="269"/>
      <c r="G17" s="267"/>
      <c r="H17" s="268"/>
      <c r="I17" s="72"/>
      <c r="J17" s="258"/>
      <c r="K17" s="258"/>
      <c r="L17" s="258"/>
      <c r="M17" s="258"/>
      <c r="N17" s="258"/>
    </row>
    <row r="18" spans="1:14" x14ac:dyDescent="0.3">
      <c r="A18" s="264" t="s">
        <v>213</v>
      </c>
      <c r="B18" s="112">
        <f>B41+(B46+B52)*$E$2</f>
        <v>40955356.501839131</v>
      </c>
      <c r="C18" s="72"/>
      <c r="D18" s="264"/>
      <c r="E18" s="296"/>
      <c r="F18" s="72"/>
      <c r="G18" s="264"/>
      <c r="H18" s="296"/>
      <c r="I18" s="72"/>
      <c r="J18" s="258"/>
      <c r="K18" s="258"/>
      <c r="L18" s="258"/>
      <c r="M18" s="258"/>
      <c r="N18" s="258"/>
    </row>
    <row r="19" spans="1:14" x14ac:dyDescent="0.3">
      <c r="A19" s="264"/>
      <c r="B19" s="112"/>
      <c r="C19" s="72"/>
      <c r="D19" s="264"/>
      <c r="E19" s="296"/>
      <c r="F19" s="72"/>
      <c r="G19" s="264"/>
      <c r="H19" s="296"/>
      <c r="I19" s="72"/>
      <c r="J19" s="258"/>
      <c r="K19" s="258"/>
      <c r="L19" s="258"/>
      <c r="M19" s="258"/>
      <c r="N19" s="258"/>
    </row>
    <row r="20" spans="1:14" ht="15.6" x14ac:dyDescent="0.3">
      <c r="A20" s="270" t="s">
        <v>117</v>
      </c>
      <c r="B20" s="124">
        <f>B13-B17</f>
        <v>1908661.3731608838</v>
      </c>
      <c r="C20" s="269"/>
      <c r="D20" s="297"/>
      <c r="E20" s="298"/>
      <c r="F20" s="269"/>
      <c r="G20" s="297"/>
      <c r="H20" s="298"/>
      <c r="I20" s="269"/>
      <c r="J20" s="258"/>
      <c r="K20" s="258"/>
      <c r="L20" s="258"/>
      <c r="M20" s="258"/>
      <c r="N20" s="258"/>
    </row>
    <row r="21" spans="1:14" x14ac:dyDescent="0.3">
      <c r="A21" s="271"/>
      <c r="B21" s="98"/>
      <c r="C21" s="272"/>
      <c r="D21" s="271"/>
      <c r="E21" s="98"/>
      <c r="F21" s="272"/>
      <c r="G21" s="271"/>
      <c r="H21" s="98"/>
      <c r="I21" s="272"/>
      <c r="J21" s="258"/>
      <c r="K21" s="258"/>
      <c r="L21" s="258"/>
      <c r="M21" s="258"/>
      <c r="N21" s="258"/>
    </row>
    <row r="22" spans="1:14" x14ac:dyDescent="0.3">
      <c r="A22" s="311" t="s">
        <v>185</v>
      </c>
      <c r="B22" s="312"/>
      <c r="C22" s="313"/>
      <c r="D22" s="311"/>
      <c r="E22" s="312"/>
      <c r="F22" s="313"/>
      <c r="G22" s="311"/>
      <c r="H22" s="312"/>
      <c r="I22" s="313"/>
      <c r="J22" s="258"/>
      <c r="K22" s="258"/>
      <c r="L22" s="258"/>
      <c r="M22" s="258"/>
      <c r="N22" s="258"/>
    </row>
    <row r="23" spans="1:14" x14ac:dyDescent="0.3">
      <c r="A23" s="71" t="s">
        <v>3</v>
      </c>
      <c r="B23" s="273">
        <f>(B41+((B46+B52)*$E$2))/'MASS BALANCE'!$M$25</f>
        <v>1.4201101872415411</v>
      </c>
      <c r="C23" s="72" t="s">
        <v>195</v>
      </c>
      <c r="D23" s="71"/>
      <c r="E23" s="273"/>
      <c r="F23" s="72"/>
      <c r="G23" s="71"/>
      <c r="H23" s="273"/>
      <c r="I23" s="72"/>
      <c r="J23" s="258"/>
      <c r="K23" s="258"/>
      <c r="L23" s="258"/>
      <c r="M23" s="258"/>
      <c r="N23" s="258"/>
    </row>
    <row r="24" spans="1:14" x14ac:dyDescent="0.3">
      <c r="A24" s="71"/>
      <c r="B24" s="274">
        <f>(B41+((B46+B52)*$E$2))/('MASS BALANCE'!$O$25*1000)</f>
        <v>102.16620052097416</v>
      </c>
      <c r="C24" s="275" t="s">
        <v>272</v>
      </c>
      <c r="D24" s="71"/>
      <c r="E24" s="299"/>
      <c r="F24" s="300"/>
      <c r="G24" s="71"/>
      <c r="H24" s="299"/>
      <c r="I24" s="300"/>
      <c r="J24" s="258"/>
      <c r="K24" s="258"/>
      <c r="L24" s="258"/>
      <c r="M24" s="258"/>
      <c r="N24" s="258"/>
    </row>
    <row r="25" spans="1:14" x14ac:dyDescent="0.3">
      <c r="A25" s="71" t="s">
        <v>2</v>
      </c>
      <c r="B25" s="116">
        <f>'PROD H2'!B54</f>
        <v>2.3686334752911535</v>
      </c>
      <c r="C25" s="72" t="s">
        <v>203</v>
      </c>
      <c r="D25" s="71"/>
      <c r="E25" s="301"/>
      <c r="F25" s="72"/>
      <c r="G25" s="71"/>
      <c r="H25" s="301"/>
      <c r="I25" s="72"/>
      <c r="J25" s="258"/>
      <c r="K25" s="258"/>
      <c r="L25" s="258"/>
      <c r="M25" s="258"/>
      <c r="N25" s="258"/>
    </row>
    <row r="26" spans="1:14" x14ac:dyDescent="0.3">
      <c r="A26" s="71" t="s">
        <v>217</v>
      </c>
      <c r="B26" s="117">
        <f>'APPRO CO2 - RECUP BIOGAZ'!B47</f>
        <v>4.916770674815431E-3</v>
      </c>
      <c r="C26" s="72" t="s">
        <v>216</v>
      </c>
      <c r="D26" s="71"/>
      <c r="E26" s="301"/>
      <c r="F26" s="72"/>
      <c r="G26" s="71"/>
      <c r="H26" s="301"/>
      <c r="I26" s="72"/>
      <c r="J26" s="258"/>
      <c r="K26" s="258"/>
      <c r="L26" s="258"/>
      <c r="M26" s="258"/>
      <c r="N26" s="258"/>
    </row>
    <row r="27" spans="1:14" x14ac:dyDescent="0.3">
      <c r="A27" s="271"/>
      <c r="B27" s="98"/>
      <c r="C27" s="272"/>
      <c r="D27" s="271"/>
      <c r="E27" s="98"/>
      <c r="F27" s="272"/>
      <c r="G27" s="271"/>
      <c r="H27" s="98"/>
      <c r="I27" s="272"/>
      <c r="J27" s="258"/>
      <c r="K27" s="258"/>
      <c r="L27" s="258"/>
      <c r="M27" s="258"/>
      <c r="N27" s="258"/>
    </row>
    <row r="28" spans="1:14" x14ac:dyDescent="0.3">
      <c r="A28" s="311" t="s">
        <v>237</v>
      </c>
      <c r="B28" s="312"/>
      <c r="C28" s="313"/>
      <c r="D28" s="311"/>
      <c r="E28" s="312"/>
      <c r="F28" s="313"/>
      <c r="G28" s="311"/>
      <c r="H28" s="312"/>
      <c r="I28" s="313"/>
      <c r="J28" s="258"/>
      <c r="K28" s="258"/>
      <c r="L28" s="258"/>
      <c r="M28" s="258"/>
      <c r="N28" s="258"/>
    </row>
    <row r="29" spans="1:14" x14ac:dyDescent="0.3">
      <c r="A29" s="71" t="s">
        <v>236</v>
      </c>
      <c r="B29" s="118">
        <f>((SITE!B26+'PROD H2'!B26+METHANATION!B26+'APPRO CO2 - RECUP BIOGAZ'!B26)*B2)/('MASS BALANCE'!O12*1000)</f>
        <v>64.360566341447381</v>
      </c>
      <c r="C29" s="72" t="s">
        <v>196</v>
      </c>
      <c r="D29" s="71"/>
      <c r="E29" s="112"/>
      <c r="F29" s="72"/>
      <c r="G29" s="71"/>
      <c r="H29" s="112"/>
      <c r="I29" s="72"/>
      <c r="J29" s="258"/>
      <c r="K29" s="258"/>
      <c r="L29" s="258"/>
      <c r="M29" s="258"/>
      <c r="N29" s="258"/>
    </row>
    <row r="30" spans="1:14" x14ac:dyDescent="0.3">
      <c r="A30" s="276" t="s">
        <v>2</v>
      </c>
      <c r="B30" s="119">
        <f>('MASS BALANCE'!M10*LCOH!B25)/('MASS BALANCE'!O12*1000)</f>
        <v>86.578912206889385</v>
      </c>
      <c r="C30" s="72" t="s">
        <v>196</v>
      </c>
      <c r="D30" s="71"/>
      <c r="E30" s="112"/>
      <c r="F30" s="72"/>
      <c r="G30" s="71"/>
      <c r="H30" s="112"/>
      <c r="I30" s="72"/>
      <c r="J30" s="258"/>
      <c r="K30" s="258"/>
      <c r="L30" s="258"/>
      <c r="M30" s="258"/>
      <c r="N30" s="258"/>
    </row>
    <row r="31" spans="1:14" x14ac:dyDescent="0.3">
      <c r="A31" s="276" t="s">
        <v>0</v>
      </c>
      <c r="B31" s="118">
        <f>('MASS BALANCE'!M5*LCOH!B26)/('MASS BALANCE'!O12*1000)</f>
        <v>1.0644038877511808</v>
      </c>
      <c r="C31" s="72" t="s">
        <v>196</v>
      </c>
      <c r="D31" s="71"/>
      <c r="E31" s="112"/>
      <c r="F31" s="72"/>
      <c r="G31" s="71"/>
      <c r="H31" s="112"/>
      <c r="I31" s="72"/>
      <c r="J31" s="258"/>
      <c r="K31" s="258"/>
      <c r="L31" s="258"/>
      <c r="M31" s="258"/>
      <c r="N31" s="258"/>
    </row>
    <row r="32" spans="1:14" x14ac:dyDescent="0.3">
      <c r="A32" s="276" t="s">
        <v>7</v>
      </c>
      <c r="B32" s="118">
        <f>('PROD H2'!B35*LCOH!B3)/('MASS BALANCE'!O12*1000)</f>
        <v>2.0406657211645123</v>
      </c>
      <c r="C32" s="72" t="s">
        <v>196</v>
      </c>
      <c r="D32" s="71"/>
      <c r="E32" s="112"/>
      <c r="F32" s="72"/>
      <c r="G32" s="71"/>
      <c r="H32" s="112"/>
      <c r="I32" s="72"/>
      <c r="J32" s="258"/>
      <c r="K32" s="258"/>
      <c r="L32" s="258"/>
      <c r="M32" s="258"/>
      <c r="N32" s="258"/>
    </row>
    <row r="33" spans="1:14" x14ac:dyDescent="0.3">
      <c r="A33" s="276"/>
      <c r="B33" s="120"/>
      <c r="C33" s="277" t="s">
        <v>196</v>
      </c>
      <c r="D33" s="71"/>
      <c r="E33" s="120"/>
      <c r="F33" s="277"/>
      <c r="G33" s="71"/>
      <c r="H33" s="120"/>
      <c r="I33" s="277"/>
      <c r="J33" s="258"/>
      <c r="K33" s="258"/>
      <c r="L33" s="258"/>
      <c r="M33" s="258"/>
      <c r="N33" s="258"/>
    </row>
    <row r="34" spans="1:14" x14ac:dyDescent="0.3">
      <c r="A34" s="276"/>
      <c r="B34" s="120"/>
      <c r="C34" s="277"/>
      <c r="D34" s="71"/>
      <c r="E34" s="120"/>
      <c r="F34" s="277"/>
      <c r="G34" s="71"/>
      <c r="H34" s="120"/>
      <c r="I34" s="277"/>
      <c r="J34" s="258"/>
      <c r="K34" s="258"/>
      <c r="L34" s="258"/>
      <c r="M34" s="258"/>
      <c r="N34" s="258"/>
    </row>
    <row r="35" spans="1:14" x14ac:dyDescent="0.3">
      <c r="A35" s="311" t="s">
        <v>238</v>
      </c>
      <c r="B35" s="312"/>
      <c r="C35" s="313"/>
      <c r="D35" s="311"/>
      <c r="E35" s="312"/>
      <c r="F35" s="313"/>
      <c r="G35" s="311"/>
      <c r="H35" s="312"/>
      <c r="I35" s="313"/>
      <c r="J35" s="258"/>
      <c r="K35" s="258"/>
      <c r="L35" s="258"/>
      <c r="M35" s="258"/>
      <c r="N35" s="258"/>
    </row>
    <row r="36" spans="1:14" x14ac:dyDescent="0.3">
      <c r="A36" s="71" t="s">
        <v>236</v>
      </c>
      <c r="B36" s="122">
        <f>((SITE!B26+'PROD H2'!B26+METHANATION!B26+'APPRO CO2 - RECUP BIOGAZ'!B26))/1000</f>
        <v>43.000358333333331</v>
      </c>
      <c r="C36" s="72" t="s">
        <v>63</v>
      </c>
      <c r="D36" s="287"/>
      <c r="E36" s="123"/>
      <c r="F36" s="72"/>
      <c r="G36" s="71"/>
      <c r="H36" s="123"/>
      <c r="I36" s="72"/>
      <c r="J36" s="258"/>
      <c r="K36" s="258"/>
      <c r="L36" s="258"/>
      <c r="M36" s="258"/>
      <c r="N36" s="258"/>
    </row>
    <row r="37" spans="1:14" x14ac:dyDescent="0.3">
      <c r="A37" s="276" t="s">
        <v>2</v>
      </c>
      <c r="B37" s="121">
        <f>'MASS BALANCE'!N4</f>
        <v>8752.8291666666682</v>
      </c>
      <c r="C37" s="72" t="s">
        <v>33</v>
      </c>
      <c r="D37" s="71"/>
      <c r="E37" s="121"/>
      <c r="F37" s="72"/>
      <c r="G37" s="71"/>
      <c r="H37" s="121"/>
      <c r="I37" s="72"/>
      <c r="J37" s="258"/>
      <c r="K37" s="258"/>
      <c r="L37" s="258"/>
      <c r="M37" s="258"/>
      <c r="N37" s="258"/>
    </row>
    <row r="38" spans="1:14" x14ac:dyDescent="0.3">
      <c r="A38" s="276" t="s">
        <v>0</v>
      </c>
      <c r="B38" s="121">
        <f>'MASS BALANCE'!N5</f>
        <v>4339.1031250000005</v>
      </c>
      <c r="C38" s="72" t="s">
        <v>33</v>
      </c>
      <c r="D38" s="71"/>
      <c r="E38" s="121"/>
      <c r="F38" s="72"/>
      <c r="G38" s="71"/>
      <c r="H38" s="121"/>
      <c r="I38" s="72"/>
      <c r="J38" s="258"/>
      <c r="K38" s="258"/>
      <c r="L38" s="258"/>
      <c r="M38" s="258"/>
      <c r="N38" s="258"/>
    </row>
    <row r="39" spans="1:14" x14ac:dyDescent="0.3">
      <c r="A39" s="278"/>
      <c r="B39" s="263"/>
      <c r="C39" s="72"/>
      <c r="D39" s="278"/>
      <c r="E39" s="263"/>
      <c r="F39" s="72"/>
      <c r="G39" s="278"/>
      <c r="H39" s="263"/>
      <c r="I39" s="72"/>
      <c r="J39" s="258"/>
      <c r="K39" s="258"/>
      <c r="L39" s="258"/>
      <c r="M39" s="258"/>
      <c r="N39" s="258"/>
    </row>
    <row r="40" spans="1:14" x14ac:dyDescent="0.3">
      <c r="A40" s="311" t="s">
        <v>244</v>
      </c>
      <c r="B40" s="312"/>
      <c r="C40" s="313"/>
      <c r="D40" s="311"/>
      <c r="E40" s="312"/>
      <c r="F40" s="313"/>
      <c r="G40" s="311"/>
      <c r="H40" s="312"/>
      <c r="I40" s="313"/>
      <c r="J40" s="258"/>
      <c r="K40" s="258"/>
      <c r="L40" s="258"/>
      <c r="M40" s="258"/>
      <c r="N40" s="258"/>
    </row>
    <row r="41" spans="1:14" x14ac:dyDescent="0.3">
      <c r="A41" s="279" t="s">
        <v>158</v>
      </c>
      <c r="B41" s="113">
        <f>SUM(B42:B45)</f>
        <v>11842000</v>
      </c>
      <c r="C41" s="72"/>
      <c r="D41" s="279"/>
      <c r="E41" s="113"/>
      <c r="F41" s="72"/>
      <c r="G41" s="279"/>
      <c r="H41" s="113"/>
      <c r="I41" s="72"/>
      <c r="J41" s="258"/>
      <c r="K41" s="258"/>
      <c r="L41" s="258"/>
      <c r="M41" s="258"/>
      <c r="N41" s="258"/>
    </row>
    <row r="42" spans="1:14" s="78" customFormat="1" outlineLevel="1" x14ac:dyDescent="0.3">
      <c r="A42" s="280" t="s">
        <v>163</v>
      </c>
      <c r="B42" s="114">
        <f>SITE!F3</f>
        <v>252000</v>
      </c>
      <c r="C42" s="281">
        <f>B42/B$41</f>
        <v>2.1280189157236954E-2</v>
      </c>
      <c r="D42" s="280"/>
      <c r="E42" s="114"/>
      <c r="F42" s="281"/>
      <c r="G42" s="280"/>
      <c r="H42" s="114"/>
      <c r="I42" s="281"/>
      <c r="J42" s="260"/>
      <c r="K42" s="260"/>
      <c r="L42" s="260"/>
      <c r="M42" s="260"/>
      <c r="N42" s="260"/>
    </row>
    <row r="43" spans="1:14" s="78" customFormat="1" outlineLevel="1" x14ac:dyDescent="0.3">
      <c r="A43" s="280" t="s">
        <v>164</v>
      </c>
      <c r="B43" s="114">
        <f>'PROD H2'!N3</f>
        <v>7320000</v>
      </c>
      <c r="C43" s="281">
        <f t="shared" ref="C43:C45" si="0">B43/B$41</f>
        <v>0.61813882790069241</v>
      </c>
      <c r="D43" s="280"/>
      <c r="E43" s="114"/>
      <c r="F43" s="281"/>
      <c r="G43" s="280"/>
      <c r="H43" s="114"/>
      <c r="I43" s="281"/>
      <c r="J43" s="261"/>
      <c r="K43" s="260"/>
      <c r="L43" s="260"/>
      <c r="M43" s="260"/>
      <c r="N43" s="260"/>
    </row>
    <row r="44" spans="1:14" s="78" customFormat="1" outlineLevel="1" x14ac:dyDescent="0.3">
      <c r="A44" s="280" t="s">
        <v>165</v>
      </c>
      <c r="B44" s="114">
        <f>METHANATION!L2</f>
        <v>4020000</v>
      </c>
      <c r="C44" s="281">
        <f t="shared" si="0"/>
        <v>0.33946968417497042</v>
      </c>
      <c r="D44" s="280"/>
      <c r="E44" s="114"/>
      <c r="F44" s="281"/>
      <c r="G44" s="280"/>
      <c r="H44" s="114"/>
      <c r="I44" s="281"/>
      <c r="J44" s="260"/>
      <c r="K44" s="260"/>
      <c r="L44" s="260"/>
      <c r="M44" s="260"/>
      <c r="N44" s="260"/>
    </row>
    <row r="45" spans="1:14" s="78" customFormat="1" outlineLevel="1" x14ac:dyDescent="0.3">
      <c r="A45" s="280" t="s">
        <v>166</v>
      </c>
      <c r="B45" s="114">
        <f>'APPRO CO2 - RECUP BIOGAZ'!K2</f>
        <v>250000</v>
      </c>
      <c r="C45" s="281">
        <f t="shared" si="0"/>
        <v>2.1111298767100151E-2</v>
      </c>
      <c r="D45" s="280"/>
      <c r="E45" s="114"/>
      <c r="F45" s="281"/>
      <c r="G45" s="280"/>
      <c r="H45" s="114"/>
      <c r="I45" s="281"/>
      <c r="J45" s="260"/>
      <c r="K45" s="260"/>
      <c r="L45" s="260"/>
      <c r="M45" s="260"/>
      <c r="N45" s="260"/>
    </row>
    <row r="46" spans="1:14" x14ac:dyDescent="0.3">
      <c r="A46" s="279" t="s">
        <v>171</v>
      </c>
      <c r="B46" s="113">
        <f>SUM(B47:B51)</f>
        <v>1360517.8250919564</v>
      </c>
      <c r="C46" s="72"/>
      <c r="D46" s="279"/>
      <c r="E46" s="113"/>
      <c r="F46" s="72"/>
      <c r="G46" s="279"/>
      <c r="H46" s="113"/>
      <c r="I46" s="72"/>
      <c r="J46" s="258"/>
      <c r="K46" s="258"/>
      <c r="L46" s="258"/>
      <c r="M46" s="258"/>
      <c r="N46" s="258"/>
    </row>
    <row r="47" spans="1:14" outlineLevel="1" x14ac:dyDescent="0.3">
      <c r="A47" s="280" t="s">
        <v>163</v>
      </c>
      <c r="B47" s="114">
        <f>SITE!F4</f>
        <v>0</v>
      </c>
      <c r="C47" s="281">
        <f>B47/B$46</f>
        <v>0</v>
      </c>
      <c r="D47" s="280"/>
      <c r="E47" s="114"/>
      <c r="F47" s="281"/>
      <c r="G47" s="280"/>
      <c r="H47" s="114"/>
      <c r="I47" s="281"/>
      <c r="J47" s="258"/>
      <c r="K47" s="258"/>
      <c r="L47" s="258"/>
      <c r="M47" s="258"/>
      <c r="N47" s="258"/>
    </row>
    <row r="48" spans="1:14" outlineLevel="1" x14ac:dyDescent="0.3">
      <c r="A48" s="280" t="s">
        <v>164</v>
      </c>
      <c r="B48" s="114">
        <f>'PROD H2'!N4</f>
        <v>1317744.0750919564</v>
      </c>
      <c r="C48" s="281">
        <f t="shared" ref="C48:C51" si="1">B48/B$46</f>
        <v>0.96856068387262106</v>
      </c>
      <c r="D48" s="280"/>
      <c r="E48" s="114"/>
      <c r="F48" s="281"/>
      <c r="G48" s="280"/>
      <c r="H48" s="114"/>
      <c r="I48" s="281"/>
      <c r="J48" s="258"/>
      <c r="K48" s="258"/>
      <c r="L48" s="258"/>
      <c r="M48" s="258"/>
      <c r="N48" s="258"/>
    </row>
    <row r="49" spans="1:14" outlineLevel="1" x14ac:dyDescent="0.3">
      <c r="A49" s="280" t="s">
        <v>165</v>
      </c>
      <c r="B49" s="114">
        <f>METHANATION!L3</f>
        <v>6584.3750000000018</v>
      </c>
      <c r="C49" s="281">
        <f t="shared" si="1"/>
        <v>4.8396095064428641E-3</v>
      </c>
      <c r="D49" s="280"/>
      <c r="E49" s="114"/>
      <c r="F49" s="281"/>
      <c r="G49" s="280"/>
      <c r="H49" s="114"/>
      <c r="I49" s="281"/>
      <c r="J49" s="258"/>
      <c r="K49" s="258"/>
      <c r="L49" s="258"/>
      <c r="M49" s="258"/>
      <c r="N49" s="258"/>
    </row>
    <row r="50" spans="1:14" outlineLevel="1" x14ac:dyDescent="0.3">
      <c r="A50" s="280" t="s">
        <v>219</v>
      </c>
      <c r="B50" s="114">
        <f>'APPRO CO2 - RECUP BIOGAZ'!K3+METHANATION!B35*1000*LCOH!B5</f>
        <v>6584.3750000000018</v>
      </c>
      <c r="C50" s="281">
        <f t="shared" si="1"/>
        <v>4.8396095064428641E-3</v>
      </c>
      <c r="D50" s="280"/>
      <c r="E50" s="114"/>
      <c r="F50" s="281"/>
      <c r="G50" s="280"/>
      <c r="H50" s="114"/>
      <c r="I50" s="281"/>
      <c r="J50" s="258"/>
      <c r="K50" s="258"/>
      <c r="L50" s="258"/>
      <c r="M50" s="258"/>
      <c r="N50" s="258"/>
    </row>
    <row r="51" spans="1:14" outlineLevel="1" x14ac:dyDescent="0.3">
      <c r="A51" s="280" t="s">
        <v>170</v>
      </c>
      <c r="B51" s="114">
        <f>B41*$K$2/$E$2</f>
        <v>29605</v>
      </c>
      <c r="C51" s="281">
        <f t="shared" si="1"/>
        <v>2.1760097114493167E-2</v>
      </c>
      <c r="D51" s="280"/>
      <c r="E51" s="114"/>
      <c r="F51" s="281"/>
      <c r="G51" s="280"/>
      <c r="H51" s="114"/>
      <c r="I51" s="281"/>
      <c r="J51" s="259"/>
      <c r="K51" s="258"/>
      <c r="L51" s="258"/>
      <c r="M51" s="258"/>
      <c r="N51" s="258"/>
    </row>
    <row r="52" spans="1:14" x14ac:dyDescent="0.3">
      <c r="A52" s="279" t="s">
        <v>184</v>
      </c>
      <c r="B52" s="113">
        <f>SUM(B53:B56)</f>
        <v>95150</v>
      </c>
      <c r="C52" s="72"/>
      <c r="D52" s="279"/>
      <c r="E52" s="113"/>
      <c r="F52" s="72"/>
      <c r="G52" s="279"/>
      <c r="H52" s="113"/>
      <c r="I52" s="72"/>
      <c r="J52" s="259"/>
      <c r="K52" s="258"/>
      <c r="L52" s="258"/>
      <c r="M52" s="258"/>
      <c r="N52" s="258"/>
    </row>
    <row r="53" spans="1:14" outlineLevel="1" x14ac:dyDescent="0.3">
      <c r="A53" s="280" t="s">
        <v>163</v>
      </c>
      <c r="B53" s="114">
        <f>SITE!F5</f>
        <v>1200</v>
      </c>
      <c r="C53" s="281">
        <f>B53/B$52</f>
        <v>1.2611665790856543E-2</v>
      </c>
      <c r="D53" s="280"/>
      <c r="E53" s="114"/>
      <c r="F53" s="281"/>
      <c r="G53" s="280"/>
      <c r="H53" s="114"/>
      <c r="I53" s="281"/>
      <c r="J53" s="259"/>
      <c r="K53" s="258"/>
      <c r="L53" s="258"/>
      <c r="M53" s="258"/>
      <c r="N53" s="258"/>
    </row>
    <row r="54" spans="1:14" outlineLevel="1" x14ac:dyDescent="0.3">
      <c r="A54" s="280" t="s">
        <v>164</v>
      </c>
      <c r="B54" s="114">
        <f>'PROD H2'!N5</f>
        <v>51600</v>
      </c>
      <c r="C54" s="281">
        <f t="shared" ref="C54:C56" si="2">B54/B$52</f>
        <v>0.54230162900683132</v>
      </c>
      <c r="D54" s="280"/>
      <c r="E54" s="114"/>
      <c r="F54" s="281"/>
      <c r="G54" s="280"/>
      <c r="H54" s="114"/>
      <c r="I54" s="281"/>
      <c r="J54" s="258"/>
      <c r="K54" s="258"/>
      <c r="L54" s="258"/>
      <c r="M54" s="258"/>
      <c r="N54" s="258"/>
    </row>
    <row r="55" spans="1:14" outlineLevel="1" x14ac:dyDescent="0.3">
      <c r="A55" s="280" t="s">
        <v>165</v>
      </c>
      <c r="B55" s="114">
        <f>METHANATION!L4</f>
        <v>40100</v>
      </c>
      <c r="C55" s="281">
        <f t="shared" si="2"/>
        <v>0.4214398318444561</v>
      </c>
      <c r="D55" s="280"/>
      <c r="E55" s="114"/>
      <c r="F55" s="281"/>
      <c r="G55" s="280"/>
      <c r="H55" s="114"/>
      <c r="I55" s="281"/>
      <c r="J55" s="258"/>
      <c r="K55" s="258"/>
      <c r="L55" s="258"/>
      <c r="M55" s="258"/>
      <c r="N55" s="258"/>
    </row>
    <row r="56" spans="1:14" outlineLevel="1" x14ac:dyDescent="0.3">
      <c r="A56" s="280" t="s">
        <v>166</v>
      </c>
      <c r="B56" s="114">
        <f>'APPRO CO2 - RECUP BIOGAZ'!K4</f>
        <v>2250</v>
      </c>
      <c r="C56" s="281">
        <f t="shared" si="2"/>
        <v>2.3646873357856018E-2</v>
      </c>
      <c r="D56" s="280"/>
      <c r="E56" s="114"/>
      <c r="F56" s="281"/>
      <c r="G56" s="280"/>
      <c r="H56" s="114"/>
      <c r="I56" s="281"/>
      <c r="J56" s="258"/>
      <c r="K56" s="258"/>
      <c r="L56" s="258"/>
      <c r="M56" s="258"/>
      <c r="N56" s="258"/>
    </row>
    <row r="57" spans="1:14" ht="15" thickBot="1" x14ac:dyDescent="0.35">
      <c r="A57" s="73"/>
      <c r="B57" s="74"/>
      <c r="C57" s="288"/>
      <c r="D57" s="73"/>
      <c r="E57" s="74"/>
      <c r="F57" s="288"/>
      <c r="G57" s="73"/>
      <c r="H57" s="74"/>
      <c r="I57" s="288"/>
      <c r="J57" s="258"/>
      <c r="K57" s="258"/>
      <c r="L57" s="258"/>
      <c r="M57" s="258"/>
      <c r="N57" s="258"/>
    </row>
    <row r="58" spans="1:14" x14ac:dyDescent="0.3">
      <c r="A58" s="289"/>
      <c r="B58" s="290"/>
      <c r="C58" s="291"/>
      <c r="D58" s="289"/>
      <c r="E58" s="290"/>
      <c r="F58" s="291"/>
      <c r="G58" s="289"/>
      <c r="H58" s="290"/>
      <c r="I58" s="291"/>
      <c r="J58" s="259"/>
      <c r="K58" s="258"/>
      <c r="L58" s="258"/>
      <c r="M58" s="258"/>
      <c r="N58" s="258"/>
    </row>
    <row r="59" spans="1:14" x14ac:dyDescent="0.3">
      <c r="A59" s="284" t="s">
        <v>221</v>
      </c>
      <c r="B59" s="285">
        <f>B41</f>
        <v>11842000</v>
      </c>
      <c r="C59" s="286">
        <f>B59/$B$62</f>
        <v>0.28914410742507457</v>
      </c>
      <c r="D59" s="284"/>
      <c r="E59" s="285"/>
      <c r="F59" s="286"/>
      <c r="G59" s="284"/>
      <c r="H59" s="285"/>
      <c r="I59" s="286"/>
      <c r="J59" s="258"/>
      <c r="K59" s="258"/>
      <c r="L59" s="258"/>
      <c r="M59" s="258"/>
      <c r="N59" s="258"/>
    </row>
    <row r="60" spans="1:14" x14ac:dyDescent="0.3">
      <c r="A60" s="284" t="s">
        <v>80</v>
      </c>
      <c r="B60" s="285">
        <f>B46*E2</f>
        <v>27210356.501839127</v>
      </c>
      <c r="C60" s="286">
        <f>B60/$B$62</f>
        <v>0.66439066402992308</v>
      </c>
      <c r="D60" s="284"/>
      <c r="E60" s="285"/>
      <c r="F60" s="286"/>
      <c r="G60" s="284"/>
      <c r="H60" s="285"/>
      <c r="I60" s="286"/>
      <c r="J60" s="258"/>
      <c r="K60" s="258"/>
      <c r="L60" s="258"/>
      <c r="M60" s="258"/>
      <c r="N60" s="258"/>
    </row>
    <row r="61" spans="1:14" x14ac:dyDescent="0.3">
      <c r="A61" s="284" t="s">
        <v>28</v>
      </c>
      <c r="B61" s="285">
        <f>B52*E2</f>
        <v>1903000</v>
      </c>
      <c r="C61" s="286">
        <f>B61/$B$62</f>
        <v>4.646522854500227E-2</v>
      </c>
      <c r="D61" s="284"/>
      <c r="E61" s="285"/>
      <c r="F61" s="286"/>
      <c r="G61" s="284"/>
      <c r="H61" s="285"/>
      <c r="I61" s="286"/>
      <c r="J61" s="258"/>
      <c r="K61" s="258"/>
      <c r="L61" s="258"/>
      <c r="M61" s="258"/>
      <c r="N61" s="258"/>
    </row>
    <row r="62" spans="1:14" x14ac:dyDescent="0.3">
      <c r="A62" s="282"/>
      <c r="B62" s="259">
        <f>SUM(B59:B61)</f>
        <v>40955356.501839131</v>
      </c>
      <c r="C62" s="286">
        <f>B62/$B$62</f>
        <v>1</v>
      </c>
      <c r="D62" s="282"/>
      <c r="E62" s="259"/>
      <c r="F62" s="286"/>
      <c r="G62" s="282"/>
      <c r="H62" s="259"/>
      <c r="I62" s="286"/>
      <c r="J62" s="258"/>
      <c r="K62" s="258"/>
      <c r="L62" s="258"/>
      <c r="M62" s="258"/>
      <c r="N62" s="258"/>
    </row>
    <row r="63" spans="1:14" x14ac:dyDescent="0.3">
      <c r="A63" s="282"/>
      <c r="B63" s="258"/>
      <c r="C63" s="283"/>
      <c r="D63" s="282"/>
      <c r="E63" s="258"/>
      <c r="F63" s="283"/>
      <c r="G63" s="282"/>
      <c r="H63" s="258"/>
      <c r="I63" s="283"/>
      <c r="J63" s="258"/>
      <c r="K63" s="258"/>
      <c r="L63" s="258"/>
      <c r="M63" s="258"/>
      <c r="N63" s="258"/>
    </row>
    <row r="64" spans="1:14" x14ac:dyDescent="0.3">
      <c r="A64" s="282"/>
      <c r="B64" s="258"/>
      <c r="C64" s="283"/>
      <c r="D64" s="282"/>
      <c r="E64" s="258"/>
      <c r="F64" s="283"/>
      <c r="G64" s="282"/>
      <c r="H64" s="258"/>
      <c r="I64" s="283"/>
      <c r="J64" s="258"/>
      <c r="K64" s="258"/>
      <c r="L64" s="258"/>
      <c r="M64" s="258"/>
      <c r="N64" s="258"/>
    </row>
    <row r="65" spans="1:14" x14ac:dyDescent="0.3">
      <c r="A65" s="282"/>
      <c r="B65" s="258"/>
      <c r="C65" s="283"/>
      <c r="D65" s="282"/>
      <c r="E65" s="258"/>
      <c r="F65" s="283"/>
      <c r="G65" s="282"/>
      <c r="H65" s="258"/>
      <c r="I65" s="283"/>
      <c r="J65" s="258"/>
      <c r="K65" s="258"/>
      <c r="L65" s="258"/>
      <c r="M65" s="258"/>
      <c r="N65" s="258"/>
    </row>
    <row r="66" spans="1:14" x14ac:dyDescent="0.3">
      <c r="A66" s="282"/>
      <c r="B66" s="258"/>
      <c r="C66" s="283"/>
      <c r="D66" s="282"/>
      <c r="E66" s="258"/>
      <c r="F66" s="283"/>
      <c r="G66" s="282"/>
      <c r="H66" s="258"/>
      <c r="I66" s="283"/>
      <c r="J66" s="258"/>
      <c r="K66" s="258"/>
      <c r="L66" s="258"/>
      <c r="M66" s="258"/>
      <c r="N66" s="258"/>
    </row>
    <row r="67" spans="1:14" x14ac:dyDescent="0.3">
      <c r="A67" s="282"/>
      <c r="B67" s="258"/>
      <c r="C67" s="283"/>
      <c r="D67" s="282"/>
      <c r="E67" s="258"/>
      <c r="F67" s="283"/>
      <c r="G67" s="282"/>
      <c r="H67" s="258"/>
      <c r="I67" s="283"/>
      <c r="J67" s="258"/>
      <c r="K67" s="258"/>
      <c r="L67" s="258"/>
      <c r="M67" s="258"/>
      <c r="N67" s="258"/>
    </row>
    <row r="68" spans="1:14" x14ac:dyDescent="0.3">
      <c r="A68" s="282"/>
      <c r="B68" s="258"/>
      <c r="C68" s="283"/>
      <c r="D68" s="282"/>
      <c r="E68" s="258"/>
      <c r="F68" s="283"/>
      <c r="G68" s="282"/>
      <c r="H68" s="258"/>
      <c r="I68" s="283"/>
      <c r="J68" s="258"/>
      <c r="K68" s="258"/>
      <c r="L68" s="258"/>
      <c r="M68" s="258"/>
      <c r="N68" s="258"/>
    </row>
    <row r="69" spans="1:14" x14ac:dyDescent="0.3">
      <c r="A69" s="282"/>
      <c r="B69" s="258"/>
      <c r="C69" s="283"/>
      <c r="D69" s="282"/>
      <c r="E69" s="258"/>
      <c r="F69" s="283"/>
      <c r="G69" s="282"/>
      <c r="H69" s="258"/>
      <c r="I69" s="283"/>
      <c r="J69" s="258"/>
      <c r="K69" s="258"/>
      <c r="L69" s="258"/>
      <c r="M69" s="258"/>
      <c r="N69" s="258"/>
    </row>
    <row r="70" spans="1:14" x14ac:dyDescent="0.3">
      <c r="A70" s="282"/>
      <c r="B70" s="258"/>
      <c r="C70" s="283"/>
      <c r="D70" s="282"/>
      <c r="E70" s="258"/>
      <c r="F70" s="283"/>
      <c r="G70" s="282"/>
      <c r="H70" s="258"/>
      <c r="I70" s="283"/>
      <c r="J70" s="258"/>
      <c r="K70" s="258"/>
      <c r="L70" s="258"/>
      <c r="M70" s="258"/>
      <c r="N70" s="258"/>
    </row>
    <row r="71" spans="1:14" x14ac:dyDescent="0.3">
      <c r="A71" s="282"/>
      <c r="B71" s="258"/>
      <c r="C71" s="283"/>
      <c r="D71" s="282"/>
      <c r="E71" s="258"/>
      <c r="F71" s="283"/>
      <c r="G71" s="282"/>
      <c r="H71" s="258"/>
      <c r="I71" s="283"/>
      <c r="J71" s="258"/>
      <c r="K71" s="258"/>
      <c r="L71" s="258"/>
      <c r="M71" s="258"/>
      <c r="N71" s="258"/>
    </row>
    <row r="72" spans="1:14" x14ac:dyDescent="0.3">
      <c r="A72" s="282"/>
      <c r="B72" s="258"/>
      <c r="C72" s="283"/>
      <c r="D72" s="282"/>
      <c r="E72" s="258"/>
      <c r="F72" s="283"/>
      <c r="G72" s="282"/>
      <c r="H72" s="258"/>
      <c r="I72" s="283"/>
      <c r="J72" s="258"/>
      <c r="K72" s="258"/>
      <c r="L72" s="258"/>
      <c r="M72" s="258"/>
      <c r="N72" s="258"/>
    </row>
    <row r="73" spans="1:14" x14ac:dyDescent="0.3">
      <c r="A73" s="282"/>
      <c r="B73" s="258"/>
      <c r="C73" s="283"/>
      <c r="D73" s="282"/>
      <c r="E73" s="258"/>
      <c r="F73" s="283"/>
      <c r="G73" s="282"/>
      <c r="H73" s="258"/>
      <c r="I73" s="283"/>
      <c r="J73" s="258"/>
      <c r="K73" s="258"/>
      <c r="L73" s="258"/>
      <c r="M73" s="258"/>
      <c r="N73" s="258"/>
    </row>
    <row r="74" spans="1:14" x14ac:dyDescent="0.3">
      <c r="A74" s="282"/>
      <c r="B74" s="258"/>
      <c r="C74" s="283"/>
      <c r="D74" s="282"/>
      <c r="E74" s="258"/>
      <c r="F74" s="283"/>
      <c r="G74" s="282"/>
      <c r="H74" s="258"/>
      <c r="I74" s="283"/>
      <c r="J74" s="258"/>
      <c r="K74" s="258"/>
      <c r="L74" s="258"/>
      <c r="M74" s="258"/>
      <c r="N74" s="258"/>
    </row>
    <row r="75" spans="1:14" ht="15" thickBot="1" x14ac:dyDescent="0.35">
      <c r="A75" s="292"/>
      <c r="B75" s="293"/>
      <c r="C75" s="294"/>
      <c r="D75" s="292"/>
      <c r="E75" s="293"/>
      <c r="F75" s="294"/>
      <c r="G75" s="292"/>
      <c r="H75" s="293"/>
      <c r="I75" s="294"/>
      <c r="J75" s="258"/>
      <c r="K75" s="258"/>
      <c r="L75" s="258"/>
      <c r="M75" s="258"/>
      <c r="N75" s="258"/>
    </row>
    <row r="76" spans="1:14" x14ac:dyDescent="0.3">
      <c r="A76" s="289"/>
      <c r="B76" s="290"/>
      <c r="C76" s="291"/>
      <c r="D76" s="289"/>
      <c r="E76" s="290"/>
      <c r="F76" s="291"/>
      <c r="G76" s="289"/>
      <c r="H76" s="290"/>
      <c r="I76" s="291"/>
      <c r="J76" s="258"/>
      <c r="K76" s="258"/>
      <c r="L76" s="258"/>
      <c r="M76" s="258"/>
      <c r="N76" s="258"/>
    </row>
    <row r="77" spans="1:14" x14ac:dyDescent="0.3">
      <c r="A77" s="284" t="s">
        <v>236</v>
      </c>
      <c r="B77" s="259">
        <f>B29</f>
        <v>64.360566341447381</v>
      </c>
      <c r="C77" s="286">
        <f>B77/$B$80</f>
        <v>0.95397553783973499</v>
      </c>
      <c r="D77" s="284"/>
      <c r="E77" s="259"/>
      <c r="F77" s="286"/>
      <c r="G77" s="284"/>
      <c r="H77" s="259"/>
      <c r="I77" s="286"/>
      <c r="J77" s="258"/>
      <c r="K77" s="258"/>
      <c r="L77" s="258"/>
      <c r="M77" s="258"/>
      <c r="N77" s="258"/>
    </row>
    <row r="78" spans="1:14" x14ac:dyDescent="0.3">
      <c r="A78" s="284" t="s">
        <v>0</v>
      </c>
      <c r="B78" s="259">
        <f>B31</f>
        <v>1.0644038877511808</v>
      </c>
      <c r="C78" s="286">
        <f t="shared" ref="C78:C79" si="3">B78/$B$80</f>
        <v>1.5776978498124608E-2</v>
      </c>
      <c r="D78" s="284"/>
      <c r="E78" s="259"/>
      <c r="F78" s="286"/>
      <c r="G78" s="284"/>
      <c r="H78" s="259"/>
      <c r="I78" s="286"/>
      <c r="J78" s="258"/>
      <c r="K78" s="258"/>
      <c r="L78" s="258"/>
      <c r="M78" s="258"/>
      <c r="N78" s="258"/>
    </row>
    <row r="79" spans="1:14" x14ac:dyDescent="0.3">
      <c r="A79" s="284" t="s">
        <v>7</v>
      </c>
      <c r="B79" s="259">
        <f>B32</f>
        <v>2.0406657211645123</v>
      </c>
      <c r="C79" s="286">
        <f t="shared" si="3"/>
        <v>3.0247483662140296E-2</v>
      </c>
      <c r="D79" s="284"/>
      <c r="E79" s="259"/>
      <c r="F79" s="286"/>
      <c r="G79" s="284"/>
      <c r="H79" s="259"/>
      <c r="I79" s="286"/>
      <c r="J79" s="258"/>
      <c r="K79" s="258"/>
      <c r="L79" s="258"/>
      <c r="M79" s="258"/>
      <c r="N79" s="258"/>
    </row>
    <row r="80" spans="1:14" x14ac:dyDescent="0.3">
      <c r="A80" s="282"/>
      <c r="B80" s="259">
        <f>SUM(B77:B79)</f>
        <v>67.46563595036308</v>
      </c>
      <c r="C80" s="283"/>
      <c r="D80" s="282"/>
      <c r="E80" s="259"/>
      <c r="F80" s="283"/>
      <c r="G80" s="282"/>
      <c r="H80" s="259"/>
      <c r="I80" s="283"/>
      <c r="J80" s="258"/>
      <c r="K80" s="258"/>
      <c r="L80" s="258"/>
      <c r="M80" s="258"/>
      <c r="N80" s="258"/>
    </row>
    <row r="81" spans="1:14" x14ac:dyDescent="0.3">
      <c r="A81" s="282"/>
      <c r="B81" s="258"/>
      <c r="C81" s="283"/>
      <c r="D81" s="282"/>
      <c r="E81" s="258"/>
      <c r="F81" s="283"/>
      <c r="G81" s="282"/>
      <c r="H81" s="258"/>
      <c r="I81" s="283"/>
      <c r="J81" s="258"/>
      <c r="K81" s="258"/>
      <c r="L81" s="258"/>
      <c r="M81" s="258"/>
      <c r="N81" s="258"/>
    </row>
    <row r="82" spans="1:14" x14ac:dyDescent="0.3">
      <c r="A82" s="282"/>
      <c r="B82" s="258"/>
      <c r="C82" s="283"/>
      <c r="D82" s="282"/>
      <c r="E82" s="258"/>
      <c r="F82" s="283"/>
      <c r="G82" s="282"/>
      <c r="H82" s="258"/>
      <c r="I82" s="283"/>
      <c r="J82" s="258"/>
      <c r="K82" s="258"/>
      <c r="L82" s="258"/>
      <c r="M82" s="258"/>
      <c r="N82" s="258"/>
    </row>
    <row r="83" spans="1:14" x14ac:dyDescent="0.3">
      <c r="A83" s="282"/>
      <c r="B83" s="258"/>
      <c r="C83" s="283"/>
      <c r="D83" s="282"/>
      <c r="E83" s="258"/>
      <c r="F83" s="283"/>
      <c r="G83" s="282"/>
      <c r="H83" s="258"/>
      <c r="I83" s="283"/>
      <c r="J83" s="258"/>
      <c r="K83" s="258"/>
      <c r="L83" s="258"/>
      <c r="M83" s="258"/>
      <c r="N83" s="258"/>
    </row>
    <row r="84" spans="1:14" x14ac:dyDescent="0.3">
      <c r="A84" s="282"/>
      <c r="B84" s="258"/>
      <c r="C84" s="283"/>
      <c r="D84" s="282"/>
      <c r="E84" s="258"/>
      <c r="F84" s="283"/>
      <c r="G84" s="282"/>
      <c r="H84" s="258"/>
      <c r="I84" s="283"/>
      <c r="J84" s="258"/>
      <c r="K84" s="258"/>
      <c r="L84" s="258"/>
      <c r="M84" s="258"/>
      <c r="N84" s="258"/>
    </row>
    <row r="85" spans="1:14" x14ac:dyDescent="0.3">
      <c r="A85" s="282"/>
      <c r="B85" s="258"/>
      <c r="C85" s="283"/>
      <c r="D85" s="282"/>
      <c r="E85" s="258"/>
      <c r="F85" s="283"/>
      <c r="G85" s="282"/>
      <c r="H85" s="258"/>
      <c r="I85" s="283"/>
      <c r="J85" s="258"/>
      <c r="K85" s="258"/>
      <c r="L85" s="258"/>
      <c r="M85" s="258"/>
      <c r="N85" s="258"/>
    </row>
    <row r="86" spans="1:14" x14ac:dyDescent="0.3">
      <c r="A86" s="282"/>
      <c r="B86" s="258"/>
      <c r="C86" s="283"/>
      <c r="D86" s="282"/>
      <c r="E86" s="258"/>
      <c r="F86" s="283"/>
      <c r="G86" s="282"/>
      <c r="H86" s="258"/>
      <c r="I86" s="283"/>
      <c r="J86" s="258"/>
      <c r="K86" s="258"/>
      <c r="L86" s="258"/>
      <c r="M86" s="258"/>
      <c r="N86" s="258"/>
    </row>
    <row r="87" spans="1:14" x14ac:dyDescent="0.3">
      <c r="A87" s="282"/>
      <c r="B87" s="258"/>
      <c r="C87" s="283"/>
      <c r="D87" s="282"/>
      <c r="E87" s="258"/>
      <c r="F87" s="283"/>
      <c r="G87" s="282"/>
      <c r="H87" s="258"/>
      <c r="I87" s="283"/>
      <c r="J87" s="258"/>
      <c r="K87" s="258"/>
      <c r="L87" s="258"/>
      <c r="M87" s="258"/>
      <c r="N87" s="258"/>
    </row>
    <row r="88" spans="1:14" x14ac:dyDescent="0.3">
      <c r="A88" s="282"/>
      <c r="B88" s="258"/>
      <c r="C88" s="283"/>
      <c r="D88" s="282"/>
      <c r="E88" s="258"/>
      <c r="F88" s="283"/>
      <c r="G88" s="282"/>
      <c r="H88" s="258"/>
      <c r="I88" s="283"/>
      <c r="J88" s="258"/>
      <c r="K88" s="258"/>
      <c r="L88" s="258"/>
      <c r="M88" s="258"/>
      <c r="N88" s="258"/>
    </row>
    <row r="89" spans="1:14" x14ac:dyDescent="0.3">
      <c r="A89" s="282"/>
      <c r="B89" s="258"/>
      <c r="C89" s="283"/>
      <c r="D89" s="282"/>
      <c r="E89" s="258"/>
      <c r="F89" s="283"/>
      <c r="G89" s="282"/>
      <c r="H89" s="258"/>
      <c r="I89" s="283"/>
      <c r="J89" s="258"/>
      <c r="K89" s="258"/>
      <c r="L89" s="258"/>
      <c r="M89" s="258"/>
      <c r="N89" s="258"/>
    </row>
    <row r="90" spans="1:14" x14ac:dyDescent="0.3">
      <c r="A90" s="282"/>
      <c r="B90" s="258"/>
      <c r="C90" s="283"/>
      <c r="D90" s="282"/>
      <c r="E90" s="258"/>
      <c r="F90" s="283"/>
      <c r="G90" s="282"/>
      <c r="H90" s="258"/>
      <c r="I90" s="283"/>
      <c r="J90" s="258"/>
      <c r="K90" s="258"/>
      <c r="L90" s="258"/>
      <c r="M90" s="258"/>
      <c r="N90" s="258"/>
    </row>
    <row r="91" spans="1:14" x14ac:dyDescent="0.3">
      <c r="A91" s="282"/>
      <c r="B91" s="258"/>
      <c r="C91" s="283"/>
      <c r="D91" s="282"/>
      <c r="E91" s="258"/>
      <c r="F91" s="283"/>
      <c r="G91" s="282"/>
      <c r="H91" s="258"/>
      <c r="I91" s="283"/>
      <c r="J91" s="258"/>
      <c r="K91" s="258"/>
      <c r="L91" s="258"/>
      <c r="M91" s="258"/>
      <c r="N91" s="258"/>
    </row>
    <row r="92" spans="1:14" x14ac:dyDescent="0.3">
      <c r="A92" s="282"/>
      <c r="B92" s="258"/>
      <c r="C92" s="283"/>
      <c r="D92" s="282"/>
      <c r="E92" s="258"/>
      <c r="F92" s="283"/>
      <c r="G92" s="282"/>
      <c r="H92" s="258"/>
      <c r="I92" s="283"/>
      <c r="J92" s="258"/>
      <c r="K92" s="258"/>
      <c r="L92" s="258"/>
      <c r="M92" s="258"/>
      <c r="N92" s="258"/>
    </row>
    <row r="93" spans="1:14" ht="15" thickBot="1" x14ac:dyDescent="0.35">
      <c r="A93" s="292"/>
      <c r="B93" s="293"/>
      <c r="C93" s="294"/>
      <c r="D93" s="292"/>
      <c r="E93" s="293"/>
      <c r="F93" s="294"/>
      <c r="G93" s="292"/>
      <c r="H93" s="293"/>
      <c r="I93" s="294"/>
      <c r="J93" s="258"/>
      <c r="K93" s="258"/>
      <c r="L93" s="258"/>
      <c r="M93" s="258"/>
      <c r="N93" s="258"/>
    </row>
    <row r="94" spans="1:14" x14ac:dyDescent="0.3">
      <c r="A94" s="289"/>
      <c r="B94" s="290"/>
      <c r="C94" s="291"/>
      <c r="D94" s="289"/>
      <c r="E94" s="290"/>
      <c r="F94" s="291"/>
      <c r="G94" s="289"/>
      <c r="H94" s="290"/>
      <c r="I94" s="291"/>
      <c r="J94" s="258"/>
      <c r="K94" s="258"/>
      <c r="L94" s="258"/>
      <c r="M94" s="258"/>
      <c r="N94" s="258"/>
    </row>
    <row r="95" spans="1:14" x14ac:dyDescent="0.3">
      <c r="A95" s="282"/>
      <c r="B95" s="258"/>
      <c r="C95" s="283"/>
      <c r="D95" s="282"/>
      <c r="E95" s="258"/>
      <c r="F95" s="283"/>
      <c r="G95" s="282"/>
      <c r="H95" s="258"/>
      <c r="I95" s="283"/>
      <c r="J95" s="258"/>
      <c r="K95" s="258"/>
      <c r="L95" s="258"/>
      <c r="M95" s="258"/>
      <c r="N95" s="258"/>
    </row>
    <row r="96" spans="1:14" x14ac:dyDescent="0.3">
      <c r="A96" s="282"/>
      <c r="B96" s="258"/>
      <c r="C96" s="283"/>
      <c r="D96" s="282"/>
      <c r="E96" s="258"/>
      <c r="F96" s="283"/>
      <c r="G96" s="282"/>
      <c r="H96" s="258"/>
      <c r="I96" s="283"/>
      <c r="J96" s="258"/>
      <c r="K96" s="258"/>
      <c r="L96" s="258"/>
      <c r="M96" s="258"/>
      <c r="N96" s="258"/>
    </row>
    <row r="97" spans="1:14" x14ac:dyDescent="0.3">
      <c r="A97" s="282"/>
      <c r="B97" s="258"/>
      <c r="C97" s="283"/>
      <c r="D97" s="282"/>
      <c r="E97" s="258"/>
      <c r="F97" s="283"/>
      <c r="G97" s="282"/>
      <c r="H97" s="258"/>
      <c r="I97" s="283"/>
      <c r="J97" s="258"/>
      <c r="K97" s="258"/>
      <c r="L97" s="258"/>
      <c r="M97" s="258"/>
      <c r="N97" s="258"/>
    </row>
    <row r="98" spans="1:14" x14ac:dyDescent="0.3">
      <c r="A98" s="284"/>
      <c r="B98" s="259"/>
      <c r="C98" s="286"/>
      <c r="D98" s="282"/>
      <c r="E98" s="258"/>
      <c r="F98" s="283"/>
      <c r="G98" s="282"/>
      <c r="H98" s="258"/>
      <c r="I98" s="283"/>
      <c r="J98" s="258"/>
      <c r="K98" s="258"/>
      <c r="L98" s="258"/>
      <c r="M98" s="258"/>
      <c r="N98" s="258"/>
    </row>
    <row r="99" spans="1:14" x14ac:dyDescent="0.3">
      <c r="A99" s="284"/>
      <c r="B99" s="259"/>
      <c r="C99" s="286"/>
      <c r="D99" s="282"/>
      <c r="E99" s="258"/>
      <c r="F99" s="283"/>
      <c r="G99" s="282"/>
      <c r="H99" s="258"/>
      <c r="I99" s="283"/>
      <c r="J99" s="258"/>
      <c r="K99" s="258"/>
      <c r="L99" s="258"/>
      <c r="M99" s="258"/>
      <c r="N99" s="258"/>
    </row>
    <row r="100" spans="1:14" x14ac:dyDescent="0.3">
      <c r="A100" s="284"/>
      <c r="B100" s="259"/>
      <c r="C100" s="286"/>
      <c r="D100" s="282"/>
      <c r="E100" s="258"/>
      <c r="F100" s="283"/>
      <c r="G100" s="282"/>
      <c r="H100" s="258"/>
      <c r="I100" s="283"/>
      <c r="J100" s="258"/>
      <c r="K100" s="258"/>
      <c r="L100" s="258"/>
      <c r="M100" s="258"/>
      <c r="N100" s="258"/>
    </row>
    <row r="101" spans="1:14" x14ac:dyDescent="0.3">
      <c r="A101" s="284"/>
      <c r="B101" s="259"/>
      <c r="C101" s="283"/>
      <c r="D101" s="282"/>
      <c r="E101" s="258"/>
      <c r="F101" s="283"/>
      <c r="G101" s="282"/>
      <c r="H101" s="258"/>
      <c r="I101" s="283"/>
      <c r="J101" s="258"/>
      <c r="K101" s="258"/>
      <c r="L101" s="258"/>
      <c r="M101" s="258"/>
      <c r="N101" s="258"/>
    </row>
    <row r="102" spans="1:14" x14ac:dyDescent="0.3">
      <c r="A102" s="282"/>
      <c r="B102" s="258"/>
      <c r="C102" s="283"/>
      <c r="D102" s="282"/>
      <c r="E102" s="258"/>
      <c r="F102" s="283"/>
      <c r="G102" s="282"/>
      <c r="H102" s="258"/>
      <c r="I102" s="283"/>
      <c r="J102" s="258"/>
      <c r="K102" s="258"/>
      <c r="L102" s="258"/>
      <c r="M102" s="258"/>
      <c r="N102" s="258"/>
    </row>
    <row r="103" spans="1:14" x14ac:dyDescent="0.3">
      <c r="A103" s="282"/>
      <c r="B103" s="258"/>
      <c r="C103" s="283"/>
      <c r="D103" s="282"/>
      <c r="E103" s="258"/>
      <c r="F103" s="283"/>
      <c r="G103" s="282"/>
      <c r="H103" s="258"/>
      <c r="I103" s="283"/>
      <c r="J103" s="258"/>
      <c r="K103" s="258"/>
      <c r="L103" s="258"/>
      <c r="M103" s="258"/>
      <c r="N103" s="258"/>
    </row>
    <row r="104" spans="1:14" x14ac:dyDescent="0.3">
      <c r="A104" s="282"/>
      <c r="B104" s="258"/>
      <c r="C104" s="283"/>
      <c r="D104" s="282"/>
      <c r="E104" s="258"/>
      <c r="F104" s="283"/>
      <c r="G104" s="282"/>
      <c r="H104" s="258"/>
      <c r="I104" s="283"/>
      <c r="J104" s="258"/>
      <c r="K104" s="258"/>
      <c r="L104" s="258"/>
      <c r="M104" s="258"/>
      <c r="N104" s="258"/>
    </row>
    <row r="105" spans="1:14" x14ac:dyDescent="0.3">
      <c r="A105" s="282"/>
      <c r="B105" s="258"/>
      <c r="C105" s="283"/>
      <c r="D105" s="282"/>
      <c r="E105" s="258"/>
      <c r="F105" s="283"/>
      <c r="G105" s="282"/>
      <c r="H105" s="258"/>
      <c r="I105" s="283"/>
      <c r="J105" s="258"/>
      <c r="K105" s="258"/>
      <c r="L105" s="258"/>
      <c r="M105" s="258"/>
      <c r="N105" s="258"/>
    </row>
    <row r="106" spans="1:14" x14ac:dyDescent="0.3">
      <c r="A106" s="282"/>
      <c r="B106" s="258"/>
      <c r="C106" s="283"/>
      <c r="D106" s="282"/>
      <c r="E106" s="258"/>
      <c r="F106" s="283"/>
      <c r="G106" s="282"/>
      <c r="H106" s="258"/>
      <c r="I106" s="283"/>
      <c r="J106" s="258"/>
      <c r="K106" s="258"/>
      <c r="L106" s="258"/>
      <c r="M106" s="258"/>
      <c r="N106" s="258"/>
    </row>
    <row r="107" spans="1:14" x14ac:dyDescent="0.3">
      <c r="A107" s="282"/>
      <c r="B107" s="258"/>
      <c r="C107" s="283"/>
      <c r="D107" s="282"/>
      <c r="E107" s="258"/>
      <c r="F107" s="283"/>
      <c r="G107" s="282"/>
      <c r="H107" s="258"/>
      <c r="I107" s="283"/>
      <c r="J107" s="258"/>
      <c r="K107" s="258"/>
      <c r="L107" s="258"/>
      <c r="M107" s="258"/>
      <c r="N107" s="258"/>
    </row>
    <row r="108" spans="1:14" x14ac:dyDescent="0.3">
      <c r="A108" s="282"/>
      <c r="B108" s="258"/>
      <c r="C108" s="283"/>
      <c r="D108" s="282"/>
      <c r="E108" s="258"/>
      <c r="F108" s="283"/>
      <c r="G108" s="282"/>
      <c r="H108" s="258"/>
      <c r="I108" s="283"/>
      <c r="J108" s="258"/>
      <c r="K108" s="258"/>
      <c r="L108" s="258"/>
      <c r="M108" s="258"/>
      <c r="N108" s="258"/>
    </row>
    <row r="109" spans="1:14" x14ac:dyDescent="0.3">
      <c r="A109" s="282"/>
      <c r="B109" s="258"/>
      <c r="C109" s="283"/>
      <c r="D109" s="282"/>
      <c r="E109" s="258"/>
      <c r="F109" s="283"/>
      <c r="G109" s="282"/>
      <c r="H109" s="258"/>
      <c r="I109" s="283"/>
      <c r="J109" s="258"/>
      <c r="K109" s="258"/>
      <c r="L109" s="258"/>
      <c r="M109" s="258"/>
      <c r="N109" s="258"/>
    </row>
    <row r="110" spans="1:14" x14ac:dyDescent="0.3">
      <c r="A110" s="282"/>
      <c r="B110" s="258"/>
      <c r="C110" s="283"/>
      <c r="D110" s="282"/>
      <c r="E110" s="258"/>
      <c r="F110" s="283"/>
      <c r="G110" s="282"/>
      <c r="H110" s="258"/>
      <c r="I110" s="283"/>
      <c r="J110" s="258"/>
      <c r="K110" s="258"/>
      <c r="L110" s="258"/>
      <c r="M110" s="258"/>
      <c r="N110" s="258"/>
    </row>
    <row r="111" spans="1:14" ht="15" thickBot="1" x14ac:dyDescent="0.35">
      <c r="A111" s="292"/>
      <c r="B111" s="293"/>
      <c r="C111" s="294"/>
      <c r="D111" s="292"/>
      <c r="E111" s="293"/>
      <c r="F111" s="294"/>
      <c r="G111" s="292"/>
      <c r="H111" s="293"/>
      <c r="I111" s="294"/>
      <c r="J111" s="258"/>
      <c r="K111" s="258"/>
      <c r="L111" s="258"/>
      <c r="M111" s="258"/>
      <c r="N111" s="258"/>
    </row>
    <row r="112" spans="1:14" x14ac:dyDescent="0.3">
      <c r="A112" s="71"/>
      <c r="C112" s="72"/>
      <c r="D112" s="71"/>
      <c r="F112" s="72"/>
      <c r="G112" s="71"/>
      <c r="I112" s="72"/>
      <c r="J112" s="258"/>
      <c r="K112" s="258"/>
      <c r="L112" s="258"/>
      <c r="M112" s="258"/>
      <c r="N112" s="258"/>
    </row>
    <row r="113" spans="1:14" x14ac:dyDescent="0.3">
      <c r="A113" s="71"/>
      <c r="C113" s="72"/>
      <c r="D113" s="71"/>
      <c r="F113" s="72"/>
      <c r="G113" s="71"/>
      <c r="I113" s="72"/>
      <c r="J113" s="258"/>
      <c r="K113" s="258"/>
      <c r="L113" s="258"/>
      <c r="M113" s="258"/>
      <c r="N113" s="258"/>
    </row>
    <row r="114" spans="1:14" x14ac:dyDescent="0.3">
      <c r="A114" s="71"/>
      <c r="C114" s="72"/>
      <c r="D114" s="71"/>
      <c r="F114" s="72"/>
      <c r="G114" s="71"/>
      <c r="I114" s="72"/>
      <c r="J114" s="258"/>
      <c r="K114" s="258"/>
      <c r="L114" s="258"/>
      <c r="M114" s="258"/>
      <c r="N114" s="258"/>
    </row>
    <row r="115" spans="1:14" x14ac:dyDescent="0.3">
      <c r="A115" s="71"/>
      <c r="C115" s="72"/>
      <c r="D115" s="71"/>
      <c r="F115" s="72"/>
      <c r="G115" s="71"/>
      <c r="I115" s="72"/>
      <c r="J115" s="258"/>
      <c r="K115" s="258"/>
      <c r="L115" s="258"/>
      <c r="M115" s="258"/>
      <c r="N115" s="258"/>
    </row>
    <row r="116" spans="1:14" x14ac:dyDescent="0.3">
      <c r="A116" s="71"/>
      <c r="C116" s="72"/>
      <c r="D116" s="71"/>
      <c r="F116" s="72"/>
      <c r="G116" s="71"/>
      <c r="I116" s="72"/>
      <c r="J116" s="258"/>
      <c r="K116" s="258"/>
      <c r="L116" s="258"/>
      <c r="M116" s="258"/>
      <c r="N116" s="258"/>
    </row>
    <row r="117" spans="1:14" x14ac:dyDescent="0.3">
      <c r="A117" s="71"/>
      <c r="C117" s="72"/>
      <c r="D117" s="71"/>
      <c r="F117" s="72"/>
      <c r="G117" s="71"/>
      <c r="I117" s="72"/>
      <c r="J117" s="258"/>
      <c r="K117" s="258"/>
      <c r="L117" s="258"/>
      <c r="M117" s="258"/>
      <c r="N117" s="258"/>
    </row>
    <row r="118" spans="1:14" x14ac:dyDescent="0.3">
      <c r="A118" s="71"/>
      <c r="C118" s="72"/>
      <c r="D118" s="71"/>
      <c r="F118" s="72"/>
      <c r="G118" s="71"/>
      <c r="I118" s="72"/>
      <c r="J118" s="258"/>
      <c r="K118" s="258"/>
      <c r="L118" s="258"/>
      <c r="M118" s="258"/>
      <c r="N118" s="258"/>
    </row>
    <row r="119" spans="1:14" x14ac:dyDescent="0.3">
      <c r="A119" s="71"/>
      <c r="C119" s="72"/>
      <c r="D119" s="71"/>
      <c r="F119" s="72"/>
      <c r="G119" s="71"/>
      <c r="I119" s="72"/>
      <c r="J119" s="258"/>
      <c r="K119" s="258"/>
      <c r="L119" s="258"/>
      <c r="M119" s="258"/>
      <c r="N119" s="258"/>
    </row>
    <row r="120" spans="1:14" x14ac:dyDescent="0.3">
      <c r="A120" s="71"/>
      <c r="C120" s="72"/>
      <c r="D120" s="71"/>
      <c r="F120" s="72"/>
      <c r="G120" s="71"/>
      <c r="I120" s="72"/>
      <c r="J120" s="258"/>
      <c r="K120" s="258"/>
      <c r="L120" s="258"/>
      <c r="M120" s="258"/>
      <c r="N120" s="258"/>
    </row>
    <row r="121" spans="1:14" x14ac:dyDescent="0.3">
      <c r="A121" s="71"/>
      <c r="C121" s="72"/>
      <c r="D121" s="71"/>
      <c r="F121" s="72"/>
      <c r="G121" s="71"/>
      <c r="I121" s="72"/>
      <c r="J121" s="258"/>
      <c r="K121" s="258"/>
      <c r="L121" s="258"/>
      <c r="M121" s="258"/>
      <c r="N121" s="258"/>
    </row>
    <row r="122" spans="1:14" x14ac:dyDescent="0.3">
      <c r="A122" s="71"/>
      <c r="C122" s="72"/>
      <c r="D122" s="71"/>
      <c r="F122" s="72"/>
      <c r="G122" s="71"/>
      <c r="I122" s="72"/>
      <c r="J122" s="258"/>
      <c r="K122" s="258"/>
      <c r="L122" s="258"/>
      <c r="M122" s="258"/>
      <c r="N122" s="258"/>
    </row>
    <row r="123" spans="1:14" x14ac:dyDescent="0.3">
      <c r="A123" s="71"/>
      <c r="C123" s="72"/>
      <c r="D123" s="71"/>
      <c r="F123" s="72"/>
      <c r="G123" s="71"/>
      <c r="I123" s="72"/>
      <c r="J123" s="258"/>
      <c r="K123" s="258"/>
      <c r="L123" s="258"/>
      <c r="M123" s="258"/>
      <c r="N123" s="258"/>
    </row>
    <row r="124" spans="1:14" x14ac:dyDescent="0.3">
      <c r="A124" s="71"/>
      <c r="C124" s="72"/>
      <c r="D124" s="71"/>
      <c r="F124" s="72"/>
      <c r="G124" s="71"/>
      <c r="I124" s="72"/>
      <c r="J124" s="258"/>
      <c r="K124" s="258"/>
      <c r="L124" s="258"/>
      <c r="M124" s="258"/>
      <c r="N124" s="258"/>
    </row>
    <row r="125" spans="1:14" x14ac:dyDescent="0.3">
      <c r="A125" s="71"/>
      <c r="C125" s="72"/>
      <c r="D125" s="71"/>
      <c r="F125" s="72"/>
      <c r="G125" s="71"/>
      <c r="I125" s="72"/>
      <c r="J125" s="258"/>
      <c r="K125" s="258"/>
      <c r="L125" s="258"/>
      <c r="M125" s="258"/>
      <c r="N125" s="258"/>
    </row>
    <row r="126" spans="1:14" x14ac:dyDescent="0.3">
      <c r="A126" s="71"/>
      <c r="C126" s="72"/>
      <c r="D126" s="71"/>
      <c r="F126" s="72"/>
      <c r="G126" s="71"/>
      <c r="I126" s="72"/>
      <c r="J126" s="258"/>
      <c r="K126" s="258"/>
      <c r="L126" s="258"/>
      <c r="M126" s="258"/>
      <c r="N126" s="258"/>
    </row>
    <row r="127" spans="1:14" x14ac:dyDescent="0.3">
      <c r="A127" s="71"/>
      <c r="C127" s="72"/>
      <c r="D127" s="71"/>
      <c r="F127" s="72"/>
      <c r="G127" s="71"/>
      <c r="I127" s="72"/>
      <c r="J127" s="258"/>
      <c r="K127" s="258"/>
      <c r="L127" s="258"/>
      <c r="M127" s="258"/>
      <c r="N127" s="258"/>
    </row>
    <row r="128" spans="1:14" x14ac:dyDescent="0.3">
      <c r="A128" s="71"/>
      <c r="C128" s="72"/>
      <c r="D128" s="71"/>
      <c r="F128" s="72"/>
      <c r="G128" s="71"/>
      <c r="I128" s="72"/>
      <c r="J128" s="258"/>
      <c r="K128" s="258"/>
      <c r="L128" s="258"/>
      <c r="M128" s="258"/>
      <c r="N128" s="258"/>
    </row>
    <row r="129" spans="1:14" x14ac:dyDescent="0.3">
      <c r="A129" s="71"/>
      <c r="C129" s="72"/>
      <c r="D129" s="71"/>
      <c r="F129" s="72"/>
      <c r="G129" s="71"/>
      <c r="I129" s="72"/>
      <c r="J129" s="258"/>
      <c r="K129" s="258"/>
      <c r="L129" s="258"/>
      <c r="M129" s="258"/>
      <c r="N129" s="258"/>
    </row>
    <row r="130" spans="1:14" x14ac:dyDescent="0.3">
      <c r="A130" s="71"/>
      <c r="C130" s="72"/>
      <c r="D130" s="71"/>
      <c r="F130" s="72"/>
      <c r="G130" s="71"/>
      <c r="I130" s="72"/>
      <c r="J130" s="258"/>
      <c r="K130" s="258"/>
      <c r="L130" s="258"/>
      <c r="M130" s="258"/>
      <c r="N130" s="258"/>
    </row>
    <row r="131" spans="1:14" ht="15" thickBot="1" x14ac:dyDescent="0.35">
      <c r="A131" s="73"/>
      <c r="B131" s="74"/>
      <c r="C131" s="75"/>
      <c r="D131" s="73"/>
      <c r="E131" s="74"/>
      <c r="F131" s="75"/>
      <c r="G131" s="73"/>
      <c r="H131" s="74"/>
      <c r="I131" s="75"/>
      <c r="J131" s="258"/>
      <c r="K131" s="258"/>
      <c r="L131" s="258"/>
      <c r="M131" s="258"/>
      <c r="N131" s="258"/>
    </row>
  </sheetData>
  <mergeCells count="22">
    <mergeCell ref="A1:C1"/>
    <mergeCell ref="D1:F1"/>
    <mergeCell ref="G1:I1"/>
    <mergeCell ref="J1:L1"/>
    <mergeCell ref="A9:C9"/>
    <mergeCell ref="G9:I9"/>
    <mergeCell ref="D9:F9"/>
    <mergeCell ref="G10:I10"/>
    <mergeCell ref="G22:I22"/>
    <mergeCell ref="G40:I40"/>
    <mergeCell ref="A28:C28"/>
    <mergeCell ref="D28:F28"/>
    <mergeCell ref="G28:I28"/>
    <mergeCell ref="A35:C35"/>
    <mergeCell ref="D35:F35"/>
    <mergeCell ref="G35:I35"/>
    <mergeCell ref="A40:C40"/>
    <mergeCell ref="A10:C10"/>
    <mergeCell ref="A22:C22"/>
    <mergeCell ref="D10:F10"/>
    <mergeCell ref="D22:F22"/>
    <mergeCell ref="D40:F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F3B1-A7F2-420E-A639-185F0FCF17EA}">
  <dimension ref="A1:AD134"/>
  <sheetViews>
    <sheetView workbookViewId="0">
      <selection activeCell="G45" sqref="G45"/>
    </sheetView>
  </sheetViews>
  <sheetFormatPr baseColWidth="10" defaultColWidth="11.44140625" defaultRowHeight="14.4" x14ac:dyDescent="0.3"/>
  <cols>
    <col min="1" max="1" width="13.44140625" style="3" customWidth="1"/>
    <col min="2" max="2" width="36.44140625" style="3" customWidth="1"/>
    <col min="3" max="3" width="18.88671875" style="3" bestFit="1" customWidth="1"/>
    <col min="4" max="12" width="14.44140625" style="3" bestFit="1" customWidth="1"/>
    <col min="13" max="13" width="15.44140625" style="3" bestFit="1" customWidth="1"/>
    <col min="14" max="14" width="12.88671875" style="3" bestFit="1" customWidth="1"/>
    <col min="15" max="24" width="13.88671875" style="3" bestFit="1" customWidth="1"/>
    <col min="25" max="25" width="15.33203125" style="3" bestFit="1" customWidth="1"/>
    <col min="26" max="26" width="13.88671875" style="3" bestFit="1" customWidth="1"/>
    <col min="27" max="27" width="14" style="3" bestFit="1" customWidth="1"/>
    <col min="28" max="28" width="12.88671875" style="3" bestFit="1" customWidth="1"/>
    <col min="29" max="16384" width="11.44140625" style="3"/>
  </cols>
  <sheetData>
    <row r="1" spans="1:30" x14ac:dyDescent="0.3">
      <c r="A1" s="262"/>
      <c r="B1" s="3" t="s">
        <v>245</v>
      </c>
      <c r="C1" s="233">
        <v>0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</row>
    <row r="2" spans="1:30" x14ac:dyDescent="0.3">
      <c r="A2" s="262"/>
      <c r="B2" s="3" t="s">
        <v>246</v>
      </c>
      <c r="C2" s="233">
        <v>0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</row>
    <row r="3" spans="1:30" x14ac:dyDescent="0.3">
      <c r="A3" s="262"/>
      <c r="B3" s="3" t="s">
        <v>255</v>
      </c>
      <c r="C3" s="233">
        <v>0</v>
      </c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</row>
    <row r="4" spans="1:30" x14ac:dyDescent="0.3">
      <c r="A4" s="262"/>
      <c r="B4" s="3" t="s">
        <v>273</v>
      </c>
      <c r="C4" s="233">
        <v>0</v>
      </c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</row>
    <row r="5" spans="1:30" x14ac:dyDescent="0.3">
      <c r="A5" s="262"/>
      <c r="B5" s="3" t="s">
        <v>274</v>
      </c>
      <c r="C5" s="233">
        <v>0</v>
      </c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</row>
    <row r="6" spans="1:30" ht="15" thickBot="1" x14ac:dyDescent="0.35">
      <c r="A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</row>
    <row r="7" spans="1:30" ht="18" x14ac:dyDescent="0.3">
      <c r="A7" s="262"/>
      <c r="B7" s="329"/>
      <c r="C7" s="326" t="s">
        <v>229</v>
      </c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6" t="s">
        <v>234</v>
      </c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8"/>
      <c r="AA7" s="327" t="s">
        <v>235</v>
      </c>
      <c r="AB7" s="328"/>
      <c r="AC7" s="262"/>
      <c r="AD7" s="262"/>
    </row>
    <row r="8" spans="1:30" ht="15" thickBot="1" x14ac:dyDescent="0.35">
      <c r="A8" s="262"/>
      <c r="B8" s="330"/>
      <c r="C8" s="201">
        <v>1</v>
      </c>
      <c r="D8" s="125">
        <v>2</v>
      </c>
      <c r="E8" s="125">
        <v>3</v>
      </c>
      <c r="F8" s="125">
        <v>4</v>
      </c>
      <c r="G8" s="125">
        <v>5</v>
      </c>
      <c r="H8" s="125">
        <v>6</v>
      </c>
      <c r="I8" s="125">
        <v>7</v>
      </c>
      <c r="J8" s="125">
        <v>8</v>
      </c>
      <c r="K8" s="125">
        <v>9</v>
      </c>
      <c r="L8" s="125">
        <v>10</v>
      </c>
      <c r="M8" s="125" t="s">
        <v>230</v>
      </c>
      <c r="N8" s="213" t="s">
        <v>231</v>
      </c>
      <c r="O8" s="127">
        <v>11</v>
      </c>
      <c r="P8" s="125">
        <v>12</v>
      </c>
      <c r="Q8" s="125">
        <v>13</v>
      </c>
      <c r="R8" s="125">
        <v>14</v>
      </c>
      <c r="S8" s="125">
        <v>15</v>
      </c>
      <c r="T8" s="125">
        <v>16</v>
      </c>
      <c r="U8" s="125">
        <v>17</v>
      </c>
      <c r="V8" s="125">
        <v>18</v>
      </c>
      <c r="W8" s="125">
        <v>19</v>
      </c>
      <c r="X8" s="125">
        <v>20</v>
      </c>
      <c r="Y8" s="125" t="s">
        <v>232</v>
      </c>
      <c r="Z8" s="126" t="s">
        <v>233</v>
      </c>
      <c r="AA8" s="200" t="s">
        <v>235</v>
      </c>
      <c r="AB8" s="128" t="s">
        <v>239</v>
      </c>
      <c r="AC8" s="262"/>
      <c r="AD8" s="262"/>
    </row>
    <row r="9" spans="1:30" x14ac:dyDescent="0.3">
      <c r="A9" s="262"/>
      <c r="B9" s="135" t="s">
        <v>224</v>
      </c>
      <c r="C9" s="173">
        <f>'MASS BALANCE'!M12</f>
        <v>1441978.1250000002</v>
      </c>
      <c r="D9" s="171">
        <f>C9</f>
        <v>1441978.1250000002</v>
      </c>
      <c r="E9" s="171">
        <f t="shared" ref="E9:L9" si="0">D9</f>
        <v>1441978.1250000002</v>
      </c>
      <c r="F9" s="171">
        <f t="shared" si="0"/>
        <v>1441978.1250000002</v>
      </c>
      <c r="G9" s="171">
        <f t="shared" si="0"/>
        <v>1441978.1250000002</v>
      </c>
      <c r="H9" s="171">
        <f t="shared" si="0"/>
        <v>1441978.1250000002</v>
      </c>
      <c r="I9" s="171">
        <f t="shared" si="0"/>
        <v>1441978.1250000002</v>
      </c>
      <c r="J9" s="171">
        <f t="shared" si="0"/>
        <v>1441978.1250000002</v>
      </c>
      <c r="K9" s="171">
        <f t="shared" si="0"/>
        <v>1441978.1250000002</v>
      </c>
      <c r="L9" s="171">
        <f t="shared" si="0"/>
        <v>1441978.1250000002</v>
      </c>
      <c r="M9" s="171">
        <f>SUM(C9:L9)</f>
        <v>14419781.250000002</v>
      </c>
      <c r="N9" s="214">
        <f t="shared" ref="N9:N22" si="1">AVERAGE(C9:L9)</f>
        <v>1441978.1250000002</v>
      </c>
      <c r="O9" s="173">
        <f>C9</f>
        <v>1441978.1250000002</v>
      </c>
      <c r="P9" s="171">
        <f>O9</f>
        <v>1441978.1250000002</v>
      </c>
      <c r="Q9" s="171">
        <f t="shared" ref="Q9:X9" si="2">P9</f>
        <v>1441978.1250000002</v>
      </c>
      <c r="R9" s="171">
        <f t="shared" si="2"/>
        <v>1441978.1250000002</v>
      </c>
      <c r="S9" s="171">
        <f t="shared" si="2"/>
        <v>1441978.1250000002</v>
      </c>
      <c r="T9" s="171">
        <f t="shared" si="2"/>
        <v>1441978.1250000002</v>
      </c>
      <c r="U9" s="171">
        <f t="shared" si="2"/>
        <v>1441978.1250000002</v>
      </c>
      <c r="V9" s="171">
        <f t="shared" si="2"/>
        <v>1441978.1250000002</v>
      </c>
      <c r="W9" s="171">
        <f t="shared" si="2"/>
        <v>1441978.1250000002</v>
      </c>
      <c r="X9" s="171">
        <f t="shared" si="2"/>
        <v>1441978.1250000002</v>
      </c>
      <c r="Y9" s="171">
        <f>SUM(O9:X9)</f>
        <v>14419781.250000002</v>
      </c>
      <c r="Z9" s="172">
        <f t="shared" ref="Z9:Z22" si="3">AVERAGE(O9:X9)</f>
        <v>1441978.1250000002</v>
      </c>
      <c r="AA9" s="170">
        <f>M9+Y9</f>
        <v>28839562.500000004</v>
      </c>
      <c r="AB9" s="174"/>
      <c r="AC9" s="262"/>
      <c r="AD9" s="262"/>
    </row>
    <row r="10" spans="1:30" ht="15" thickBot="1" x14ac:dyDescent="0.35">
      <c r="A10" s="262"/>
      <c r="B10" s="169" t="s">
        <v>258</v>
      </c>
      <c r="C10" s="139">
        <f>'MASS BALANCE'!$O$12</f>
        <v>20.043495937500005</v>
      </c>
      <c r="D10" s="136">
        <f>'MASS BALANCE'!$O$12</f>
        <v>20.043495937500005</v>
      </c>
      <c r="E10" s="136">
        <f>'MASS BALANCE'!$O$12</f>
        <v>20.043495937500005</v>
      </c>
      <c r="F10" s="136">
        <f>'MASS BALANCE'!$O$12</f>
        <v>20.043495937500005</v>
      </c>
      <c r="G10" s="136">
        <f>'MASS BALANCE'!$O$12</f>
        <v>20.043495937500005</v>
      </c>
      <c r="H10" s="136">
        <f>'MASS BALANCE'!$O$12</f>
        <v>20.043495937500005</v>
      </c>
      <c r="I10" s="136">
        <f>'MASS BALANCE'!$O$12</f>
        <v>20.043495937500005</v>
      </c>
      <c r="J10" s="136">
        <f>'MASS BALANCE'!$O$12</f>
        <v>20.043495937500005</v>
      </c>
      <c r="K10" s="136">
        <f>'MASS BALANCE'!$O$12</f>
        <v>20.043495937500005</v>
      </c>
      <c r="L10" s="136">
        <f>'MASS BALANCE'!$O$12</f>
        <v>20.043495937500005</v>
      </c>
      <c r="M10" s="137">
        <f>SUM(C10:L10)</f>
        <v>200.43495937500009</v>
      </c>
      <c r="N10" s="215">
        <f t="shared" si="1"/>
        <v>20.043495937500008</v>
      </c>
      <c r="O10" s="139">
        <f>'MASS BALANCE'!$O$12</f>
        <v>20.043495937500005</v>
      </c>
      <c r="P10" s="136">
        <f>'MASS BALANCE'!$O$12</f>
        <v>20.043495937500005</v>
      </c>
      <c r="Q10" s="136">
        <f>'MASS BALANCE'!$O$12</f>
        <v>20.043495937500005</v>
      </c>
      <c r="R10" s="136">
        <f>'MASS BALANCE'!$O$12</f>
        <v>20.043495937500005</v>
      </c>
      <c r="S10" s="136">
        <f>'MASS BALANCE'!$O$12</f>
        <v>20.043495937500005</v>
      </c>
      <c r="T10" s="136">
        <f>'MASS BALANCE'!$O$12</f>
        <v>20.043495937500005</v>
      </c>
      <c r="U10" s="136">
        <f>'MASS BALANCE'!$O$12</f>
        <v>20.043495937500005</v>
      </c>
      <c r="V10" s="136">
        <f>'MASS BALANCE'!$O$12</f>
        <v>20.043495937500005</v>
      </c>
      <c r="W10" s="136">
        <f>'MASS BALANCE'!$O$12</f>
        <v>20.043495937500005</v>
      </c>
      <c r="X10" s="136">
        <f>'MASS BALANCE'!$O$12</f>
        <v>20.043495937500005</v>
      </c>
      <c r="Y10" s="137">
        <f>SUM(O10:X10)</f>
        <v>200.43495937500009</v>
      </c>
      <c r="Z10" s="138">
        <f t="shared" si="3"/>
        <v>20.043495937500008</v>
      </c>
      <c r="AA10" s="136">
        <f>M10+Y10</f>
        <v>400.86991875000018</v>
      </c>
      <c r="AB10" s="134">
        <f t="shared" ref="AB10" si="4">AVERAGE(N10,Z10)</f>
        <v>20.043495937500008</v>
      </c>
      <c r="AC10" s="262"/>
      <c r="AD10" s="262"/>
    </row>
    <row r="11" spans="1:30" x14ac:dyDescent="0.3">
      <c r="A11" s="323" t="s">
        <v>256</v>
      </c>
      <c r="B11" s="135" t="s">
        <v>222</v>
      </c>
      <c r="C11" s="173">
        <f>'MASS BALANCE'!M10</f>
        <v>732635.12197835825</v>
      </c>
      <c r="D11" s="171">
        <f>C11</f>
        <v>732635.12197835825</v>
      </c>
      <c r="E11" s="171">
        <f t="shared" ref="E11:L11" si="5">D11</f>
        <v>732635.12197835825</v>
      </c>
      <c r="F11" s="171">
        <f t="shared" si="5"/>
        <v>732635.12197835825</v>
      </c>
      <c r="G11" s="171">
        <f t="shared" si="5"/>
        <v>732635.12197835825</v>
      </c>
      <c r="H11" s="171">
        <f t="shared" si="5"/>
        <v>732635.12197835825</v>
      </c>
      <c r="I11" s="171">
        <f t="shared" si="5"/>
        <v>732635.12197835825</v>
      </c>
      <c r="J11" s="171">
        <f t="shared" si="5"/>
        <v>732635.12197835825</v>
      </c>
      <c r="K11" s="171">
        <f t="shared" si="5"/>
        <v>732635.12197835825</v>
      </c>
      <c r="L11" s="171">
        <f t="shared" si="5"/>
        <v>732635.12197835825</v>
      </c>
      <c r="M11" s="171">
        <f>SUM(C11:L11)</f>
        <v>7326351.2197835827</v>
      </c>
      <c r="N11" s="214">
        <f t="shared" si="1"/>
        <v>732635.12197835825</v>
      </c>
      <c r="O11" s="173">
        <f>C11</f>
        <v>732635.12197835825</v>
      </c>
      <c r="P11" s="171">
        <f>O11</f>
        <v>732635.12197835825</v>
      </c>
      <c r="Q11" s="171">
        <f t="shared" ref="Q11:X11" si="6">P11</f>
        <v>732635.12197835825</v>
      </c>
      <c r="R11" s="171">
        <f t="shared" si="6"/>
        <v>732635.12197835825</v>
      </c>
      <c r="S11" s="171">
        <f t="shared" si="6"/>
        <v>732635.12197835825</v>
      </c>
      <c r="T11" s="171">
        <f t="shared" si="6"/>
        <v>732635.12197835825</v>
      </c>
      <c r="U11" s="171">
        <f t="shared" si="6"/>
        <v>732635.12197835825</v>
      </c>
      <c r="V11" s="171">
        <f t="shared" si="6"/>
        <v>732635.12197835825</v>
      </c>
      <c r="W11" s="171">
        <f t="shared" si="6"/>
        <v>732635.12197835825</v>
      </c>
      <c r="X11" s="171">
        <f t="shared" si="6"/>
        <v>732635.12197835825</v>
      </c>
      <c r="Y11" s="171">
        <f>SUM(O11:X11)</f>
        <v>7326351.2197835827</v>
      </c>
      <c r="Z11" s="172">
        <f t="shared" si="3"/>
        <v>732635.12197835825</v>
      </c>
      <c r="AA11" s="170">
        <f>M11+Y11</f>
        <v>14652702.439567165</v>
      </c>
      <c r="AB11" s="174"/>
      <c r="AC11" s="262"/>
      <c r="AD11" s="262"/>
    </row>
    <row r="12" spans="1:30" x14ac:dyDescent="0.3">
      <c r="A12" s="324"/>
      <c r="B12" s="129" t="s">
        <v>223</v>
      </c>
      <c r="C12" s="133">
        <f>'MASS BALANCE'!M5</f>
        <v>4339103.1250000009</v>
      </c>
      <c r="D12" s="131">
        <f>C12</f>
        <v>4339103.1250000009</v>
      </c>
      <c r="E12" s="131">
        <f t="shared" ref="E12:L12" si="7">D12</f>
        <v>4339103.1250000009</v>
      </c>
      <c r="F12" s="131">
        <f t="shared" si="7"/>
        <v>4339103.1250000009</v>
      </c>
      <c r="G12" s="131">
        <f t="shared" si="7"/>
        <v>4339103.1250000009</v>
      </c>
      <c r="H12" s="131">
        <f t="shared" si="7"/>
        <v>4339103.1250000009</v>
      </c>
      <c r="I12" s="131">
        <f t="shared" si="7"/>
        <v>4339103.1250000009</v>
      </c>
      <c r="J12" s="131">
        <f t="shared" si="7"/>
        <v>4339103.1250000009</v>
      </c>
      <c r="K12" s="131">
        <f t="shared" si="7"/>
        <v>4339103.1250000009</v>
      </c>
      <c r="L12" s="131">
        <f t="shared" si="7"/>
        <v>4339103.1250000009</v>
      </c>
      <c r="M12" s="131">
        <f>SUM(C12:L12)</f>
        <v>43391031.250000007</v>
      </c>
      <c r="N12" s="216">
        <f t="shared" si="1"/>
        <v>4339103.1250000009</v>
      </c>
      <c r="O12" s="133">
        <f>C12</f>
        <v>4339103.1250000009</v>
      </c>
      <c r="P12" s="131">
        <f>O12</f>
        <v>4339103.1250000009</v>
      </c>
      <c r="Q12" s="131">
        <f t="shared" ref="Q12:X12" si="8">P12</f>
        <v>4339103.1250000009</v>
      </c>
      <c r="R12" s="131">
        <f t="shared" si="8"/>
        <v>4339103.1250000009</v>
      </c>
      <c r="S12" s="131">
        <f t="shared" si="8"/>
        <v>4339103.1250000009</v>
      </c>
      <c r="T12" s="131">
        <f t="shared" si="8"/>
        <v>4339103.1250000009</v>
      </c>
      <c r="U12" s="131">
        <f t="shared" si="8"/>
        <v>4339103.1250000009</v>
      </c>
      <c r="V12" s="131">
        <f t="shared" si="8"/>
        <v>4339103.1250000009</v>
      </c>
      <c r="W12" s="131">
        <f t="shared" si="8"/>
        <v>4339103.1250000009</v>
      </c>
      <c r="X12" s="131">
        <f t="shared" si="8"/>
        <v>4339103.1250000009</v>
      </c>
      <c r="Y12" s="131">
        <f>SUM(O12:X12)</f>
        <v>43391031.250000007</v>
      </c>
      <c r="Z12" s="132">
        <f t="shared" si="3"/>
        <v>4339103.1250000009</v>
      </c>
      <c r="AA12" s="130">
        <f t="shared" ref="AA12:AA16" si="9">M12+Y12</f>
        <v>86782062.500000015</v>
      </c>
      <c r="AB12" s="134"/>
      <c r="AC12" s="262"/>
      <c r="AD12" s="262"/>
    </row>
    <row r="13" spans="1:30" x14ac:dyDescent="0.3">
      <c r="A13" s="324"/>
      <c r="B13" s="129" t="s">
        <v>243</v>
      </c>
      <c r="C13" s="141">
        <f>LCOH!B2</f>
        <v>30</v>
      </c>
      <c r="D13" s="140">
        <f t="shared" ref="D13:L13" si="10">C13+(C13*$C$1)</f>
        <v>30</v>
      </c>
      <c r="E13" s="140">
        <f t="shared" si="10"/>
        <v>30</v>
      </c>
      <c r="F13" s="140">
        <f t="shared" si="10"/>
        <v>30</v>
      </c>
      <c r="G13" s="140">
        <f t="shared" si="10"/>
        <v>30</v>
      </c>
      <c r="H13" s="140">
        <f t="shared" si="10"/>
        <v>30</v>
      </c>
      <c r="I13" s="140">
        <f t="shared" si="10"/>
        <v>30</v>
      </c>
      <c r="J13" s="140">
        <f t="shared" si="10"/>
        <v>30</v>
      </c>
      <c r="K13" s="140">
        <f t="shared" si="10"/>
        <v>30</v>
      </c>
      <c r="L13" s="140">
        <f t="shared" si="10"/>
        <v>30</v>
      </c>
      <c r="M13" s="8"/>
      <c r="N13" s="216">
        <f t="shared" si="1"/>
        <v>30</v>
      </c>
      <c r="O13" s="141">
        <f>L13+(L13*$C$1)</f>
        <v>30</v>
      </c>
      <c r="P13" s="140">
        <f t="shared" ref="P13:X13" si="11">O13+(O13*$C$1)</f>
        <v>30</v>
      </c>
      <c r="Q13" s="140">
        <f t="shared" si="11"/>
        <v>30</v>
      </c>
      <c r="R13" s="140">
        <f t="shared" si="11"/>
        <v>30</v>
      </c>
      <c r="S13" s="140">
        <f t="shared" si="11"/>
        <v>30</v>
      </c>
      <c r="T13" s="140">
        <f t="shared" si="11"/>
        <v>30</v>
      </c>
      <c r="U13" s="140">
        <f t="shared" si="11"/>
        <v>30</v>
      </c>
      <c r="V13" s="140">
        <f t="shared" si="11"/>
        <v>30</v>
      </c>
      <c r="W13" s="140">
        <f t="shared" si="11"/>
        <v>30</v>
      </c>
      <c r="X13" s="140">
        <f t="shared" si="11"/>
        <v>30</v>
      </c>
      <c r="Y13" s="131"/>
      <c r="Z13" s="132">
        <f t="shared" si="3"/>
        <v>30</v>
      </c>
      <c r="AA13" s="130"/>
      <c r="AB13" s="134"/>
      <c r="AC13" s="262"/>
      <c r="AD13" s="262"/>
    </row>
    <row r="14" spans="1:30" x14ac:dyDescent="0.3">
      <c r="A14" s="324"/>
      <c r="B14" s="129" t="s">
        <v>247</v>
      </c>
      <c r="C14" s="202">
        <f>LCOH!B5</f>
        <v>0</v>
      </c>
      <c r="D14" s="142">
        <f>C14+(C14*$C$2)</f>
        <v>0</v>
      </c>
      <c r="E14" s="142">
        <f t="shared" ref="E14:L14" si="12">D14+(D14*$C$2)</f>
        <v>0</v>
      </c>
      <c r="F14" s="142">
        <f t="shared" si="12"/>
        <v>0</v>
      </c>
      <c r="G14" s="142">
        <f t="shared" si="12"/>
        <v>0</v>
      </c>
      <c r="H14" s="142">
        <f t="shared" si="12"/>
        <v>0</v>
      </c>
      <c r="I14" s="142">
        <f t="shared" si="12"/>
        <v>0</v>
      </c>
      <c r="J14" s="142">
        <f t="shared" si="12"/>
        <v>0</v>
      </c>
      <c r="K14" s="142">
        <f t="shared" si="12"/>
        <v>0</v>
      </c>
      <c r="L14" s="142">
        <f t="shared" si="12"/>
        <v>0</v>
      </c>
      <c r="M14" s="8"/>
      <c r="N14" s="217">
        <f t="shared" si="1"/>
        <v>0</v>
      </c>
      <c r="O14" s="202">
        <f>L14+(L14*$C$2)</f>
        <v>0</v>
      </c>
      <c r="P14" s="142">
        <f>O14+(O14*$C$2)</f>
        <v>0</v>
      </c>
      <c r="Q14" s="142">
        <f t="shared" ref="Q14:X14" si="13">P14+(P14*$C$2)</f>
        <v>0</v>
      </c>
      <c r="R14" s="142">
        <f t="shared" si="13"/>
        <v>0</v>
      </c>
      <c r="S14" s="142">
        <f t="shared" si="13"/>
        <v>0</v>
      </c>
      <c r="T14" s="142">
        <f t="shared" si="13"/>
        <v>0</v>
      </c>
      <c r="U14" s="142">
        <f t="shared" si="13"/>
        <v>0</v>
      </c>
      <c r="V14" s="142">
        <f t="shared" si="13"/>
        <v>0</v>
      </c>
      <c r="W14" s="142">
        <f t="shared" si="13"/>
        <v>0</v>
      </c>
      <c r="X14" s="142">
        <f t="shared" si="13"/>
        <v>0</v>
      </c>
      <c r="Y14" s="131"/>
      <c r="Z14" s="143">
        <f t="shared" si="3"/>
        <v>0</v>
      </c>
      <c r="AA14" s="130"/>
      <c r="AB14" s="144">
        <f t="shared" ref="AB14:AB15" si="14">AVERAGE(N14,Z14)</f>
        <v>0</v>
      </c>
      <c r="AC14" s="262"/>
      <c r="AD14" s="262"/>
    </row>
    <row r="15" spans="1:30" ht="15" thickBot="1" x14ac:dyDescent="0.35">
      <c r="A15" s="325"/>
      <c r="B15" s="159" t="s">
        <v>254</v>
      </c>
      <c r="C15" s="163">
        <f>LCOH!B3</f>
        <v>5</v>
      </c>
      <c r="D15" s="175">
        <f>C15+(C15*$C$3)</f>
        <v>5</v>
      </c>
      <c r="E15" s="175">
        <f t="shared" ref="E15:L15" si="15">D15+(D15*$C$3)</f>
        <v>5</v>
      </c>
      <c r="F15" s="175">
        <f t="shared" si="15"/>
        <v>5</v>
      </c>
      <c r="G15" s="175">
        <f t="shared" si="15"/>
        <v>5</v>
      </c>
      <c r="H15" s="175">
        <f t="shared" si="15"/>
        <v>5</v>
      </c>
      <c r="I15" s="175">
        <f t="shared" si="15"/>
        <v>5</v>
      </c>
      <c r="J15" s="175">
        <f t="shared" si="15"/>
        <v>5</v>
      </c>
      <c r="K15" s="175">
        <f t="shared" si="15"/>
        <v>5</v>
      </c>
      <c r="L15" s="175">
        <f t="shared" si="15"/>
        <v>5</v>
      </c>
      <c r="M15" s="176"/>
      <c r="N15" s="218">
        <f t="shared" si="1"/>
        <v>5</v>
      </c>
      <c r="O15" s="231">
        <f>L15+(L15*$C$3)</f>
        <v>5</v>
      </c>
      <c r="P15" s="175">
        <f>O15+(O15*$C$3)</f>
        <v>5</v>
      </c>
      <c r="Q15" s="175">
        <f t="shared" ref="Q15:X15" si="16">P15+(P15*$C$3)</f>
        <v>5</v>
      </c>
      <c r="R15" s="175">
        <f t="shared" si="16"/>
        <v>5</v>
      </c>
      <c r="S15" s="175">
        <f t="shared" si="16"/>
        <v>5</v>
      </c>
      <c r="T15" s="175">
        <f t="shared" si="16"/>
        <v>5</v>
      </c>
      <c r="U15" s="175">
        <f t="shared" si="16"/>
        <v>5</v>
      </c>
      <c r="V15" s="175">
        <f t="shared" si="16"/>
        <v>5</v>
      </c>
      <c r="W15" s="175">
        <f t="shared" si="16"/>
        <v>5</v>
      </c>
      <c r="X15" s="175">
        <f t="shared" si="16"/>
        <v>5</v>
      </c>
      <c r="Y15" s="161"/>
      <c r="Z15" s="177">
        <f t="shared" si="3"/>
        <v>5</v>
      </c>
      <c r="AA15" s="229"/>
      <c r="AB15" s="178">
        <f t="shared" si="14"/>
        <v>5</v>
      </c>
      <c r="AC15" s="262"/>
      <c r="AD15" s="262"/>
    </row>
    <row r="16" spans="1:30" x14ac:dyDescent="0.3">
      <c r="A16" s="323" t="s">
        <v>11</v>
      </c>
      <c r="B16" s="135" t="s">
        <v>228</v>
      </c>
      <c r="C16" s="173">
        <f t="shared" ref="C16:L16" si="17">C17*C11/1000000</f>
        <v>42.140000000000008</v>
      </c>
      <c r="D16" s="171">
        <f t="shared" si="17"/>
        <v>42.823135213013515</v>
      </c>
      <c r="E16" s="171">
        <f t="shared" si="17"/>
        <v>43.506270426027029</v>
      </c>
      <c r="F16" s="171">
        <f t="shared" si="17"/>
        <v>44.189405639040544</v>
      </c>
      <c r="G16" s="171">
        <f t="shared" si="17"/>
        <v>44.872540852054058</v>
      </c>
      <c r="H16" s="171">
        <f t="shared" si="17"/>
        <v>45.555676065067566</v>
      </c>
      <c r="I16" s="171">
        <f t="shared" si="17"/>
        <v>46.23881127808108</v>
      </c>
      <c r="J16" s="171">
        <f t="shared" si="17"/>
        <v>46.921946491094594</v>
      </c>
      <c r="K16" s="171">
        <f t="shared" si="17"/>
        <v>47.605081704108102</v>
      </c>
      <c r="L16" s="171">
        <f t="shared" si="17"/>
        <v>48.28821691712163</v>
      </c>
      <c r="M16" s="171">
        <f>SUM(C16:L16)</f>
        <v>452.14108458560816</v>
      </c>
      <c r="N16" s="214">
        <f t="shared" si="1"/>
        <v>45.214108458560816</v>
      </c>
      <c r="O16" s="173">
        <f t="shared" ref="O16:X16" si="18">O17*O11/1000000</f>
        <v>42.140000000000008</v>
      </c>
      <c r="P16" s="171">
        <f t="shared" si="18"/>
        <v>42.823135213013515</v>
      </c>
      <c r="Q16" s="171">
        <f t="shared" si="18"/>
        <v>43.506270426027029</v>
      </c>
      <c r="R16" s="171">
        <f t="shared" si="18"/>
        <v>44.189405639040544</v>
      </c>
      <c r="S16" s="171">
        <f t="shared" si="18"/>
        <v>44.872540852054058</v>
      </c>
      <c r="T16" s="171">
        <f t="shared" si="18"/>
        <v>45.555676065067566</v>
      </c>
      <c r="U16" s="171">
        <f t="shared" si="18"/>
        <v>46.23881127808108</v>
      </c>
      <c r="V16" s="171">
        <f t="shared" si="18"/>
        <v>46.921946491094594</v>
      </c>
      <c r="W16" s="171">
        <f t="shared" si="18"/>
        <v>47.605081704108102</v>
      </c>
      <c r="X16" s="171">
        <f t="shared" si="18"/>
        <v>48.28821691712163</v>
      </c>
      <c r="Y16" s="171">
        <f>SUM(O16:X16)</f>
        <v>452.14108458560816</v>
      </c>
      <c r="Z16" s="172">
        <f t="shared" si="3"/>
        <v>45.214108458560816</v>
      </c>
      <c r="AA16" s="170">
        <f t="shared" si="9"/>
        <v>904.28216917121631</v>
      </c>
      <c r="AB16" s="179">
        <f>AVERAGE(N16,Z16)</f>
        <v>45.214108458560816</v>
      </c>
      <c r="AC16" s="262"/>
      <c r="AD16" s="262"/>
    </row>
    <row r="17" spans="1:30" x14ac:dyDescent="0.3">
      <c r="A17" s="324"/>
      <c r="B17" s="129" t="s">
        <v>227</v>
      </c>
      <c r="C17" s="148">
        <f>C18/'MASS BALANCE'!$F$5</f>
        <v>57.518400000000007</v>
      </c>
      <c r="D17" s="146">
        <f>D18/'MASS BALANCE'!$F$5</f>
        <v>58.450835795828112</v>
      </c>
      <c r="E17" s="146">
        <f>E18/'MASS BALANCE'!$F$5</f>
        <v>59.383271591656218</v>
      </c>
      <c r="F17" s="146">
        <f>F18/'MASS BALANCE'!$F$5</f>
        <v>60.315707387484331</v>
      </c>
      <c r="G17" s="146">
        <f>G18/'MASS BALANCE'!$F$5</f>
        <v>61.248143183312436</v>
      </c>
      <c r="H17" s="146">
        <f>H18/'MASS BALANCE'!$F$5</f>
        <v>62.180578979140535</v>
      </c>
      <c r="I17" s="146">
        <f>I18/'MASS BALANCE'!$F$5</f>
        <v>63.113014774968647</v>
      </c>
      <c r="J17" s="146">
        <f>J18/'MASS BALANCE'!$F$5</f>
        <v>64.04545057079676</v>
      </c>
      <c r="K17" s="146">
        <f>K18/'MASS BALANCE'!$F$5</f>
        <v>64.977886366624858</v>
      </c>
      <c r="L17" s="146">
        <f>L18/'MASS BALANCE'!$F$5</f>
        <v>65.910322162452985</v>
      </c>
      <c r="M17" s="131"/>
      <c r="N17" s="219">
        <f t="shared" si="1"/>
        <v>61.714361081226478</v>
      </c>
      <c r="O17" s="148">
        <f>O18/'MASS BALANCE'!$F$5</f>
        <v>57.518400000000007</v>
      </c>
      <c r="P17" s="146">
        <f>P18/'MASS BALANCE'!$F$5</f>
        <v>58.450835795828112</v>
      </c>
      <c r="Q17" s="146">
        <f>Q18/'MASS BALANCE'!$F$5</f>
        <v>59.383271591656218</v>
      </c>
      <c r="R17" s="146">
        <f>R18/'MASS BALANCE'!$F$5</f>
        <v>60.315707387484331</v>
      </c>
      <c r="S17" s="146">
        <f>S18/'MASS BALANCE'!$F$5</f>
        <v>61.248143183312436</v>
      </c>
      <c r="T17" s="146">
        <f>T18/'MASS BALANCE'!$F$5</f>
        <v>62.180578979140535</v>
      </c>
      <c r="U17" s="146">
        <f>U18/'MASS BALANCE'!$F$5</f>
        <v>63.113014774968647</v>
      </c>
      <c r="V17" s="146">
        <f>V18/'MASS BALANCE'!$F$5</f>
        <v>64.04545057079676</v>
      </c>
      <c r="W17" s="146">
        <f>W18/'MASS BALANCE'!$F$5</f>
        <v>64.977886366624858</v>
      </c>
      <c r="X17" s="146">
        <f>X18/'MASS BALANCE'!$F$5</f>
        <v>65.910322162452985</v>
      </c>
      <c r="Y17" s="131"/>
      <c r="Z17" s="147">
        <f t="shared" si="3"/>
        <v>61.714361081226478</v>
      </c>
      <c r="AA17" s="130"/>
      <c r="AB17" s="145">
        <f>AVERAGE(N17,Z17)</f>
        <v>61.714361081226478</v>
      </c>
      <c r="AC17" s="262"/>
      <c r="AD17" s="262"/>
    </row>
    <row r="18" spans="1:30" x14ac:dyDescent="0.3">
      <c r="A18" s="324"/>
      <c r="B18" s="129" t="s">
        <v>226</v>
      </c>
      <c r="C18" s="151">
        <f>'PROD H2'!F21</f>
        <v>4.8</v>
      </c>
      <c r="D18" s="146">
        <f>D21+D22</f>
        <v>4.8778132183783782</v>
      </c>
      <c r="E18" s="146">
        <f t="shared" ref="E18:L18" si="19">E21+E22</f>
        <v>4.9556264367567566</v>
      </c>
      <c r="F18" s="146">
        <f t="shared" si="19"/>
        <v>5.033439655135135</v>
      </c>
      <c r="G18" s="146">
        <f t="shared" si="19"/>
        <v>5.1112528735135134</v>
      </c>
      <c r="H18" s="146">
        <f t="shared" si="19"/>
        <v>5.1890660918918909</v>
      </c>
      <c r="I18" s="146">
        <f t="shared" si="19"/>
        <v>5.2668793102702693</v>
      </c>
      <c r="J18" s="146">
        <f t="shared" si="19"/>
        <v>5.3446925286486477</v>
      </c>
      <c r="K18" s="146">
        <f t="shared" si="19"/>
        <v>5.4225057470270261</v>
      </c>
      <c r="L18" s="146">
        <f t="shared" si="19"/>
        <v>5.5003189654054054</v>
      </c>
      <c r="M18" s="131"/>
      <c r="N18" s="220">
        <f t="shared" si="1"/>
        <v>5.1501594827027022</v>
      </c>
      <c r="O18" s="151">
        <f>C18</f>
        <v>4.8</v>
      </c>
      <c r="P18" s="146">
        <f>P21+P22</f>
        <v>4.8778132183783782</v>
      </c>
      <c r="Q18" s="146">
        <f t="shared" ref="Q18:X18" si="20">Q21+Q22</f>
        <v>4.9556264367567566</v>
      </c>
      <c r="R18" s="146">
        <f t="shared" si="20"/>
        <v>5.033439655135135</v>
      </c>
      <c r="S18" s="146">
        <f t="shared" si="20"/>
        <v>5.1112528735135134</v>
      </c>
      <c r="T18" s="146">
        <f t="shared" si="20"/>
        <v>5.1890660918918909</v>
      </c>
      <c r="U18" s="146">
        <f t="shared" si="20"/>
        <v>5.2668793102702693</v>
      </c>
      <c r="V18" s="146">
        <f t="shared" si="20"/>
        <v>5.3446925286486477</v>
      </c>
      <c r="W18" s="146">
        <f t="shared" si="20"/>
        <v>5.4225057470270261</v>
      </c>
      <c r="X18" s="146">
        <f t="shared" si="20"/>
        <v>5.5003189654054054</v>
      </c>
      <c r="Y18" s="131"/>
      <c r="Z18" s="150">
        <f t="shared" si="3"/>
        <v>5.1501594827027022</v>
      </c>
      <c r="AA18" s="149"/>
      <c r="AB18" s="152">
        <f t="shared" ref="AB18:AB22" si="21">AVERAGE(N18,Z18)</f>
        <v>5.1501594827027022</v>
      </c>
      <c r="AC18" s="262"/>
      <c r="AD18" s="262"/>
    </row>
    <row r="19" spans="1:30" x14ac:dyDescent="0.3">
      <c r="A19" s="324"/>
      <c r="B19" s="129" t="s">
        <v>242</v>
      </c>
      <c r="C19" s="154">
        <v>1.7750999999999999</v>
      </c>
      <c r="D19" s="153">
        <f>C19+'PROD H2'!$F$27*LCOH!$E$5/1000000</f>
        <v>1.8076320799999999</v>
      </c>
      <c r="E19" s="153">
        <f>D19+'PROD H2'!$F$27*LCOH!$E$5/1000000</f>
        <v>1.8401641599999998</v>
      </c>
      <c r="F19" s="153">
        <f>E19+'PROD H2'!$F$27*LCOH!$E$5/1000000</f>
        <v>1.8726962399999998</v>
      </c>
      <c r="G19" s="153">
        <f>F19+'PROD H2'!$F$27*LCOH!$E$5/1000000</f>
        <v>1.9052283199999998</v>
      </c>
      <c r="H19" s="153">
        <f>G19+'PROD H2'!$F$27*LCOH!$E$5/1000000</f>
        <v>1.9377603999999997</v>
      </c>
      <c r="I19" s="153">
        <f>H19+'PROD H2'!$F$27*LCOH!$E$5/1000000</f>
        <v>1.9702924799999997</v>
      </c>
      <c r="J19" s="153">
        <f>I19+'PROD H2'!$F$27*LCOH!$E$5/1000000</f>
        <v>2.0028245599999996</v>
      </c>
      <c r="K19" s="153">
        <f>J19+'PROD H2'!$F$27*LCOH!$E$5/1000000</f>
        <v>2.0353566399999998</v>
      </c>
      <c r="L19" s="153">
        <f>K19+'PROD H2'!$F$27*LCOH!$E$5/1000000</f>
        <v>2.06788872</v>
      </c>
      <c r="M19" s="131"/>
      <c r="N19" s="217">
        <f t="shared" si="1"/>
        <v>1.9214943599999998</v>
      </c>
      <c r="O19" s="154">
        <v>1.7750999999999999</v>
      </c>
      <c r="P19" s="153">
        <f>O19+'PROD H2'!$F$27*LCOH!$E$5/1000000</f>
        <v>1.8076320799999999</v>
      </c>
      <c r="Q19" s="153">
        <f>P19+'PROD H2'!$F$27*LCOH!$E$5/1000000</f>
        <v>1.8401641599999998</v>
      </c>
      <c r="R19" s="153">
        <f>Q19+'PROD H2'!$F$27*LCOH!$E$5/1000000</f>
        <v>1.8726962399999998</v>
      </c>
      <c r="S19" s="153">
        <f>R19+'PROD H2'!$F$27*LCOH!$E$5/1000000</f>
        <v>1.9052283199999998</v>
      </c>
      <c r="T19" s="153">
        <f>S19+'PROD H2'!$F$27*LCOH!$E$5/1000000</f>
        <v>1.9377603999999997</v>
      </c>
      <c r="U19" s="153">
        <f>T19+'PROD H2'!$F$27*LCOH!$E$5/1000000</f>
        <v>1.9702924799999997</v>
      </c>
      <c r="V19" s="153">
        <f>U19+'PROD H2'!$F$27*LCOH!$E$5/1000000</f>
        <v>2.0028245599999996</v>
      </c>
      <c r="W19" s="153">
        <f>V19+'PROD H2'!$F$27*LCOH!$E$5/1000000</f>
        <v>2.0353566399999998</v>
      </c>
      <c r="X19" s="153">
        <f>W19+'PROD H2'!$F$27*LCOH!$E$5/1000000</f>
        <v>2.06788872</v>
      </c>
      <c r="Y19" s="131"/>
      <c r="Z19" s="143">
        <f t="shared" si="3"/>
        <v>1.9214943599999998</v>
      </c>
      <c r="AA19" s="149"/>
      <c r="AB19" s="152">
        <f t="shared" si="21"/>
        <v>1.9214943599999998</v>
      </c>
      <c r="AC19" s="262"/>
      <c r="AD19" s="262"/>
    </row>
    <row r="20" spans="1:30" x14ac:dyDescent="0.3">
      <c r="A20" s="324"/>
      <c r="B20" s="129" t="s">
        <v>225</v>
      </c>
      <c r="C20" s="157">
        <f>1.48/C19</f>
        <v>0.83375584474114139</v>
      </c>
      <c r="D20" s="155">
        <f t="shared" ref="D20:L20" si="22">1.48/D19</f>
        <v>0.81875068293764741</v>
      </c>
      <c r="E20" s="155">
        <f t="shared" si="22"/>
        <v>0.8042760706740425</v>
      </c>
      <c r="F20" s="155">
        <f t="shared" si="22"/>
        <v>0.79030435816969447</v>
      </c>
      <c r="G20" s="155">
        <f t="shared" si="22"/>
        <v>0.77680978414177682</v>
      </c>
      <c r="H20" s="155">
        <f t="shared" si="22"/>
        <v>0.76376831728009309</v>
      </c>
      <c r="I20" s="155">
        <f t="shared" si="22"/>
        <v>0.75115751342663617</v>
      </c>
      <c r="J20" s="155">
        <f t="shared" si="22"/>
        <v>0.73895638667422781</v>
      </c>
      <c r="K20" s="155">
        <f t="shared" si="22"/>
        <v>0.7271452928269122</v>
      </c>
      <c r="L20" s="155">
        <f t="shared" si="22"/>
        <v>0.7157058238607733</v>
      </c>
      <c r="M20" s="131"/>
      <c r="N20" s="221">
        <f t="shared" si="1"/>
        <v>0.77206300747329437</v>
      </c>
      <c r="O20" s="157">
        <f>1.48/O19</f>
        <v>0.83375584474114139</v>
      </c>
      <c r="P20" s="155">
        <f t="shared" ref="P20" si="23">1.48/P19</f>
        <v>0.81875068293764741</v>
      </c>
      <c r="Q20" s="155">
        <f t="shared" ref="Q20" si="24">1.48/Q19</f>
        <v>0.8042760706740425</v>
      </c>
      <c r="R20" s="155">
        <f t="shared" ref="R20" si="25">1.48/R19</f>
        <v>0.79030435816969447</v>
      </c>
      <c r="S20" s="155">
        <f t="shared" ref="S20" si="26">1.48/S19</f>
        <v>0.77680978414177682</v>
      </c>
      <c r="T20" s="155">
        <f t="shared" ref="T20" si="27">1.48/T19</f>
        <v>0.76376831728009309</v>
      </c>
      <c r="U20" s="155">
        <f t="shared" ref="U20" si="28">1.48/U19</f>
        <v>0.75115751342663617</v>
      </c>
      <c r="V20" s="155">
        <f t="shared" ref="V20" si="29">1.48/V19</f>
        <v>0.73895638667422781</v>
      </c>
      <c r="W20" s="155">
        <f t="shared" ref="W20" si="30">1.48/W19</f>
        <v>0.7271452928269122</v>
      </c>
      <c r="X20" s="155">
        <f t="shared" ref="X20" si="31">1.48/X19</f>
        <v>0.7157058238607733</v>
      </c>
      <c r="Y20" s="131"/>
      <c r="Z20" s="156">
        <f t="shared" si="3"/>
        <v>0.77206300747329437</v>
      </c>
      <c r="AA20" s="149"/>
      <c r="AB20" s="158">
        <f t="shared" si="21"/>
        <v>0.77206300747329437</v>
      </c>
      <c r="AC20" s="262"/>
      <c r="AD20" s="262"/>
    </row>
    <row r="21" spans="1:30" x14ac:dyDescent="0.3">
      <c r="A21" s="324"/>
      <c r="B21" s="129" t="s">
        <v>241</v>
      </c>
      <c r="C21" s="148">
        <f>3.54/C20</f>
        <v>4.2458472972972974</v>
      </c>
      <c r="D21" s="146">
        <f t="shared" ref="D21:L21" si="32">3.54/D20</f>
        <v>4.3236605156756758</v>
      </c>
      <c r="E21" s="146">
        <f t="shared" si="32"/>
        <v>4.4014737340540542</v>
      </c>
      <c r="F21" s="146">
        <f t="shared" si="32"/>
        <v>4.4792869524324326</v>
      </c>
      <c r="G21" s="146">
        <f t="shared" si="32"/>
        <v>4.557100170810811</v>
      </c>
      <c r="H21" s="146">
        <f t="shared" si="32"/>
        <v>4.6349133891891885</v>
      </c>
      <c r="I21" s="146">
        <f t="shared" si="32"/>
        <v>4.7127266075675669</v>
      </c>
      <c r="J21" s="146">
        <f t="shared" si="32"/>
        <v>4.7905398259459453</v>
      </c>
      <c r="K21" s="146">
        <f t="shared" si="32"/>
        <v>4.8683530443243237</v>
      </c>
      <c r="L21" s="146">
        <f t="shared" si="32"/>
        <v>4.946166262702703</v>
      </c>
      <c r="M21" s="131"/>
      <c r="N21" s="220">
        <f t="shared" si="1"/>
        <v>4.5960067799999988</v>
      </c>
      <c r="O21" s="148">
        <f>3.54/O20</f>
        <v>4.2458472972972974</v>
      </c>
      <c r="P21" s="146">
        <f t="shared" ref="P21" si="33">3.54/P20</f>
        <v>4.3236605156756758</v>
      </c>
      <c r="Q21" s="146">
        <f t="shared" ref="Q21" si="34">3.54/Q20</f>
        <v>4.4014737340540542</v>
      </c>
      <c r="R21" s="146">
        <f t="shared" ref="R21" si="35">3.54/R20</f>
        <v>4.4792869524324326</v>
      </c>
      <c r="S21" s="146">
        <f t="shared" ref="S21" si="36">3.54/S20</f>
        <v>4.557100170810811</v>
      </c>
      <c r="T21" s="146">
        <f t="shared" ref="T21" si="37">3.54/T20</f>
        <v>4.6349133891891885</v>
      </c>
      <c r="U21" s="146">
        <f t="shared" ref="U21" si="38">3.54/U20</f>
        <v>4.7127266075675669</v>
      </c>
      <c r="V21" s="146">
        <f t="shared" ref="V21" si="39">3.54/V20</f>
        <v>4.7905398259459453</v>
      </c>
      <c r="W21" s="146">
        <f t="shared" ref="W21" si="40">3.54/W20</f>
        <v>4.8683530443243237</v>
      </c>
      <c r="X21" s="146">
        <f t="shared" ref="X21" si="41">3.54/X20</f>
        <v>4.946166262702703</v>
      </c>
      <c r="Y21" s="131"/>
      <c r="Z21" s="150">
        <f t="shared" si="3"/>
        <v>4.5960067799999988</v>
      </c>
      <c r="AA21" s="149"/>
      <c r="AB21" s="152">
        <f t="shared" si="21"/>
        <v>4.5960067799999988</v>
      </c>
      <c r="AC21" s="262"/>
      <c r="AD21" s="262"/>
    </row>
    <row r="22" spans="1:30" ht="15" thickBot="1" x14ac:dyDescent="0.35">
      <c r="A22" s="325"/>
      <c r="B22" s="159" t="s">
        <v>240</v>
      </c>
      <c r="C22" s="163">
        <f>C18-C21</f>
        <v>0.55415270270270245</v>
      </c>
      <c r="D22" s="160">
        <f>C22</f>
        <v>0.55415270270270245</v>
      </c>
      <c r="E22" s="160">
        <f t="shared" ref="E22:L22" si="42">D22</f>
        <v>0.55415270270270245</v>
      </c>
      <c r="F22" s="160">
        <f t="shared" si="42"/>
        <v>0.55415270270270245</v>
      </c>
      <c r="G22" s="160">
        <f t="shared" si="42"/>
        <v>0.55415270270270245</v>
      </c>
      <c r="H22" s="160">
        <f t="shared" si="42"/>
        <v>0.55415270270270245</v>
      </c>
      <c r="I22" s="160">
        <f t="shared" si="42"/>
        <v>0.55415270270270245</v>
      </c>
      <c r="J22" s="160">
        <f t="shared" si="42"/>
        <v>0.55415270270270245</v>
      </c>
      <c r="K22" s="160">
        <f t="shared" si="42"/>
        <v>0.55415270270270245</v>
      </c>
      <c r="L22" s="160">
        <f t="shared" si="42"/>
        <v>0.55415270270270245</v>
      </c>
      <c r="M22" s="161"/>
      <c r="N22" s="222">
        <f t="shared" si="1"/>
        <v>0.55415270270270245</v>
      </c>
      <c r="O22" s="163">
        <f>O18-O21</f>
        <v>0.55415270270270245</v>
      </c>
      <c r="P22" s="160">
        <f>O22</f>
        <v>0.55415270270270245</v>
      </c>
      <c r="Q22" s="160">
        <f t="shared" ref="Q22:X22" si="43">P22</f>
        <v>0.55415270270270245</v>
      </c>
      <c r="R22" s="160">
        <f t="shared" si="43"/>
        <v>0.55415270270270245</v>
      </c>
      <c r="S22" s="160">
        <f t="shared" si="43"/>
        <v>0.55415270270270245</v>
      </c>
      <c r="T22" s="160">
        <f t="shared" si="43"/>
        <v>0.55415270270270245</v>
      </c>
      <c r="U22" s="160">
        <f t="shared" si="43"/>
        <v>0.55415270270270245</v>
      </c>
      <c r="V22" s="160">
        <f t="shared" si="43"/>
        <v>0.55415270270270245</v>
      </c>
      <c r="W22" s="160">
        <f t="shared" si="43"/>
        <v>0.55415270270270245</v>
      </c>
      <c r="X22" s="160">
        <f t="shared" si="43"/>
        <v>0.55415270270270245</v>
      </c>
      <c r="Y22" s="161"/>
      <c r="Z22" s="162">
        <f t="shared" si="3"/>
        <v>0.55415270270270245</v>
      </c>
      <c r="AA22" s="230"/>
      <c r="AB22" s="164">
        <f t="shared" si="21"/>
        <v>0.55415270270270245</v>
      </c>
      <c r="AC22" s="262"/>
      <c r="AD22" s="262"/>
    </row>
    <row r="23" spans="1:30" x14ac:dyDescent="0.3">
      <c r="A23" s="323" t="s">
        <v>212</v>
      </c>
      <c r="B23" s="135" t="s">
        <v>252</v>
      </c>
      <c r="C23" s="203">
        <f>(LCOH!B41-'PROD H2'!F30)/LCOH!K3</f>
        <v>984200</v>
      </c>
      <c r="D23" s="180">
        <f>C23</f>
        <v>984200</v>
      </c>
      <c r="E23" s="180">
        <f t="shared" ref="E23:L23" si="44">D23</f>
        <v>984200</v>
      </c>
      <c r="F23" s="180">
        <f t="shared" si="44"/>
        <v>984200</v>
      </c>
      <c r="G23" s="180">
        <f t="shared" si="44"/>
        <v>984200</v>
      </c>
      <c r="H23" s="180">
        <f t="shared" si="44"/>
        <v>984200</v>
      </c>
      <c r="I23" s="180">
        <f t="shared" si="44"/>
        <v>984200</v>
      </c>
      <c r="J23" s="180">
        <f t="shared" si="44"/>
        <v>984200</v>
      </c>
      <c r="K23" s="180">
        <f t="shared" si="44"/>
        <v>984200</v>
      </c>
      <c r="L23" s="180">
        <f t="shared" si="44"/>
        <v>984200</v>
      </c>
      <c r="M23" s="180">
        <f t="shared" ref="M23:M28" si="45">SUM(C23:L23)</f>
        <v>9842000</v>
      </c>
      <c r="N23" s="223"/>
      <c r="O23" s="208">
        <f>'PROD H2'!F30/LCOH!K3</f>
        <v>200000</v>
      </c>
      <c r="P23" s="181">
        <f>O23</f>
        <v>200000</v>
      </c>
      <c r="Q23" s="181">
        <f t="shared" ref="Q23:X23" si="46">P23</f>
        <v>200000</v>
      </c>
      <c r="R23" s="181">
        <f t="shared" si="46"/>
        <v>200000</v>
      </c>
      <c r="S23" s="181">
        <f t="shared" si="46"/>
        <v>200000</v>
      </c>
      <c r="T23" s="181">
        <f t="shared" si="46"/>
        <v>200000</v>
      </c>
      <c r="U23" s="181">
        <f t="shared" si="46"/>
        <v>200000</v>
      </c>
      <c r="V23" s="181">
        <f t="shared" si="46"/>
        <v>200000</v>
      </c>
      <c r="W23" s="181">
        <f t="shared" si="46"/>
        <v>200000</v>
      </c>
      <c r="X23" s="181">
        <f t="shared" si="46"/>
        <v>200000</v>
      </c>
      <c r="Y23" s="181">
        <f t="shared" ref="Y23:Y28" si="47">SUM(O23:X23)</f>
        <v>2000000</v>
      </c>
      <c r="Z23" s="182"/>
      <c r="AA23" s="207">
        <f t="shared" ref="AA23:AA28" si="48">M23+Y23</f>
        <v>11842000</v>
      </c>
      <c r="AB23" s="182"/>
      <c r="AC23" s="262"/>
      <c r="AD23" s="262"/>
    </row>
    <row r="24" spans="1:30" x14ac:dyDescent="0.3">
      <c r="A24" s="324"/>
      <c r="B24" s="129" t="s">
        <v>248</v>
      </c>
      <c r="C24" s="204">
        <f>($M$23)*LCOH!$K$2/LCOH!$K$3</f>
        <v>49210</v>
      </c>
      <c r="D24" s="165">
        <f>($M$23)*LCOH!$K$2/LCOH!$K$3</f>
        <v>49210</v>
      </c>
      <c r="E24" s="165">
        <f>($M$23)*LCOH!$K$2/LCOH!$K$3</f>
        <v>49210</v>
      </c>
      <c r="F24" s="165">
        <f>($M$23)*LCOH!$K$2/LCOH!$K$3</f>
        <v>49210</v>
      </c>
      <c r="G24" s="165">
        <f>($M$23)*LCOH!$K$2/LCOH!$K$3</f>
        <v>49210</v>
      </c>
      <c r="H24" s="165">
        <f>($M$23)*LCOH!$K$2/LCOH!$K$3</f>
        <v>49210</v>
      </c>
      <c r="I24" s="165">
        <f>($M$23)*LCOH!$K$2/LCOH!$K$3</f>
        <v>49210</v>
      </c>
      <c r="J24" s="165">
        <f>($M$23)*LCOH!$K$2/LCOH!$K$3</f>
        <v>49210</v>
      </c>
      <c r="K24" s="165">
        <f>($M$23)*LCOH!$K$2/LCOH!$K$3</f>
        <v>49210</v>
      </c>
      <c r="L24" s="165">
        <f>($M$23)*LCOH!$K$2/LCOH!$K$3</f>
        <v>49210</v>
      </c>
      <c r="M24" s="165">
        <f t="shared" si="45"/>
        <v>492100</v>
      </c>
      <c r="N24" s="224"/>
      <c r="O24" s="204">
        <f>($Y$23)*LCOH!$K$2/LCOH!$K$3</f>
        <v>10000</v>
      </c>
      <c r="P24" s="165">
        <f>($Y$23)*LCOH!$K$2/LCOH!$K$3</f>
        <v>10000</v>
      </c>
      <c r="Q24" s="165">
        <f>($Y$23)*LCOH!$K$2/LCOH!$K$3</f>
        <v>10000</v>
      </c>
      <c r="R24" s="165">
        <f>($Y$23)*LCOH!$K$2/LCOH!$K$3</f>
        <v>10000</v>
      </c>
      <c r="S24" s="165">
        <f>($Y$23)*LCOH!$K$2/LCOH!$K$3</f>
        <v>10000</v>
      </c>
      <c r="T24" s="165">
        <f>($Y$23)*LCOH!$K$2/LCOH!$K$3</f>
        <v>10000</v>
      </c>
      <c r="U24" s="165">
        <f>($Y$23)*LCOH!$K$2/LCOH!$K$3</f>
        <v>10000</v>
      </c>
      <c r="V24" s="165">
        <f>($Y$23)*LCOH!$K$2/LCOH!$K$3</f>
        <v>10000</v>
      </c>
      <c r="W24" s="165">
        <f>($Y$23)*LCOH!$K$2/LCOH!$K$3</f>
        <v>10000</v>
      </c>
      <c r="X24" s="165">
        <f>($Y$23)*LCOH!$K$2/LCOH!$K$3</f>
        <v>10000</v>
      </c>
      <c r="Y24" s="166">
        <f t="shared" si="47"/>
        <v>100000</v>
      </c>
      <c r="Z24" s="70"/>
      <c r="AA24" s="167">
        <f t="shared" si="48"/>
        <v>592100</v>
      </c>
      <c r="AB24" s="183">
        <f t="shared" ref="AB24:AB25" si="49">AA24/$X$8</f>
        <v>29605</v>
      </c>
      <c r="AC24" s="262"/>
      <c r="AD24" s="262"/>
    </row>
    <row r="25" spans="1:30" x14ac:dyDescent="0.3">
      <c r="A25" s="324"/>
      <c r="B25" s="129" t="s">
        <v>249</v>
      </c>
      <c r="C25" s="205">
        <f>LCOH!$B$52</f>
        <v>95150</v>
      </c>
      <c r="D25" s="166">
        <f>LCOH!$B$52</f>
        <v>95150</v>
      </c>
      <c r="E25" s="166">
        <f>LCOH!$B$52</f>
        <v>95150</v>
      </c>
      <c r="F25" s="166">
        <f>LCOH!$B$52</f>
        <v>95150</v>
      </c>
      <c r="G25" s="166">
        <f>LCOH!$B$52</f>
        <v>95150</v>
      </c>
      <c r="H25" s="166">
        <f>LCOH!$B$52</f>
        <v>95150</v>
      </c>
      <c r="I25" s="166">
        <f>LCOH!$B$52</f>
        <v>95150</v>
      </c>
      <c r="J25" s="166">
        <f>LCOH!$B$52</f>
        <v>95150</v>
      </c>
      <c r="K25" s="166">
        <f>LCOH!$B$52</f>
        <v>95150</v>
      </c>
      <c r="L25" s="166">
        <f>LCOH!$B$52</f>
        <v>95150</v>
      </c>
      <c r="M25" s="165">
        <f t="shared" si="45"/>
        <v>951500</v>
      </c>
      <c r="N25" s="225"/>
      <c r="O25" s="205">
        <f>LCOH!$B$52</f>
        <v>95150</v>
      </c>
      <c r="P25" s="166">
        <f>LCOH!$B$52</f>
        <v>95150</v>
      </c>
      <c r="Q25" s="166">
        <f>LCOH!$B$52</f>
        <v>95150</v>
      </c>
      <c r="R25" s="166">
        <f>LCOH!$B$52</f>
        <v>95150</v>
      </c>
      <c r="S25" s="166">
        <f>LCOH!$B$52</f>
        <v>95150</v>
      </c>
      <c r="T25" s="166">
        <f>LCOH!$B$52</f>
        <v>95150</v>
      </c>
      <c r="U25" s="166">
        <f>LCOH!$B$52</f>
        <v>95150</v>
      </c>
      <c r="V25" s="166">
        <f>LCOH!$B$52</f>
        <v>95150</v>
      </c>
      <c r="W25" s="166">
        <f>LCOH!$B$52</f>
        <v>95150</v>
      </c>
      <c r="X25" s="166">
        <f>LCOH!$B$52</f>
        <v>95150</v>
      </c>
      <c r="Y25" s="166">
        <f t="shared" si="47"/>
        <v>951500</v>
      </c>
      <c r="Z25" s="64"/>
      <c r="AA25" s="167">
        <f t="shared" si="48"/>
        <v>1903000</v>
      </c>
      <c r="AB25" s="183">
        <f t="shared" si="49"/>
        <v>95150</v>
      </c>
      <c r="AC25" s="262"/>
      <c r="AD25" s="262"/>
    </row>
    <row r="26" spans="1:30" x14ac:dyDescent="0.3">
      <c r="A26" s="324"/>
      <c r="B26" s="129" t="s">
        <v>250</v>
      </c>
      <c r="C26" s="205">
        <f>(C16*1000+SITE!$B$26+METHANATION!$B$26+'APPRO CO2 - RECUP BIOGAZ'!$B$26)*C13</f>
        <v>1277368.75</v>
      </c>
      <c r="D26" s="166">
        <f>(D16*1000+SITE!$B$26+METHANATION!$B$26+'APPRO CO2 - RECUP BIOGAZ'!$B$26)*D13</f>
        <v>1297862.8063904052</v>
      </c>
      <c r="E26" s="166">
        <f>(E16*1000+SITE!$B$26+METHANATION!$B$26+'APPRO CO2 - RECUP BIOGAZ'!$B$26)*E13</f>
        <v>1318356.8627808108</v>
      </c>
      <c r="F26" s="166">
        <f>(F16*1000+SITE!$B$26+METHANATION!$B$26+'APPRO CO2 - RECUP BIOGAZ'!$B$26)*F13</f>
        <v>1338850.9191712162</v>
      </c>
      <c r="G26" s="166">
        <f>(G16*1000+SITE!$B$26+METHANATION!$B$26+'APPRO CO2 - RECUP BIOGAZ'!$B$26)*G13</f>
        <v>1359344.9755616216</v>
      </c>
      <c r="H26" s="166">
        <f>(H16*1000+SITE!$B$26+METHANATION!$B$26+'APPRO CO2 - RECUP BIOGAZ'!$B$26)*H13</f>
        <v>1379839.0319520268</v>
      </c>
      <c r="I26" s="166">
        <f>(I16*1000+SITE!$B$26+METHANATION!$B$26+'APPRO CO2 - RECUP BIOGAZ'!$B$26)*I13</f>
        <v>1400333.0883424322</v>
      </c>
      <c r="J26" s="166">
        <f>(J16*1000+SITE!$B$26+METHANATION!$B$26+'APPRO CO2 - RECUP BIOGAZ'!$B$26)*J13</f>
        <v>1420827.1447328378</v>
      </c>
      <c r="K26" s="166">
        <f>(K16*1000+SITE!$B$26+METHANATION!$B$26+'APPRO CO2 - RECUP BIOGAZ'!$B$26)*K13</f>
        <v>1441321.201123243</v>
      </c>
      <c r="L26" s="166">
        <f>(L16*1000+SITE!$B$26+METHANATION!$B$26+'APPRO CO2 - RECUP BIOGAZ'!$B$26)*L13</f>
        <v>1461815.2575136488</v>
      </c>
      <c r="M26" s="165">
        <f t="shared" si="45"/>
        <v>13695920.037568241</v>
      </c>
      <c r="N26" s="226">
        <f>AVERAGE(C26:L26)</f>
        <v>1369592.0037568242</v>
      </c>
      <c r="O26" s="205">
        <f>(O16*1000+SITE!$B$26+METHANATION!$B$26+'APPRO CO2 - RECUP BIOGAZ'!$B$26)*O13</f>
        <v>1277368.75</v>
      </c>
      <c r="P26" s="166">
        <f>(P16*1000+SITE!$B$26+METHANATION!$B$26+'APPRO CO2 - RECUP BIOGAZ'!$B$26)*P13</f>
        <v>1297862.8063904052</v>
      </c>
      <c r="Q26" s="166">
        <f>(Q16*1000+SITE!$B$26+METHANATION!$B$26+'APPRO CO2 - RECUP BIOGAZ'!$B$26)*Q13</f>
        <v>1318356.8627808108</v>
      </c>
      <c r="R26" s="166">
        <f>(R16*1000+SITE!$B$26+METHANATION!$B$26+'APPRO CO2 - RECUP BIOGAZ'!$B$26)*R13</f>
        <v>1338850.9191712162</v>
      </c>
      <c r="S26" s="166">
        <f>(S16*1000+SITE!$B$26+METHANATION!$B$26+'APPRO CO2 - RECUP BIOGAZ'!$B$26)*S13</f>
        <v>1359344.9755616216</v>
      </c>
      <c r="T26" s="166">
        <f>(T16*1000+SITE!$B$26+METHANATION!$B$26+'APPRO CO2 - RECUP BIOGAZ'!$B$26)*T13</f>
        <v>1379839.0319520268</v>
      </c>
      <c r="U26" s="166">
        <f>(U16*1000+SITE!$B$26+METHANATION!$B$26+'APPRO CO2 - RECUP BIOGAZ'!$B$26)*U13</f>
        <v>1400333.0883424322</v>
      </c>
      <c r="V26" s="166">
        <f>(V16*1000+SITE!$B$26+METHANATION!$B$26+'APPRO CO2 - RECUP BIOGAZ'!$B$26)*V13</f>
        <v>1420827.1447328378</v>
      </c>
      <c r="W26" s="166">
        <f>(W16*1000+SITE!$B$26+METHANATION!$B$26+'APPRO CO2 - RECUP BIOGAZ'!$B$26)*W13</f>
        <v>1441321.201123243</v>
      </c>
      <c r="X26" s="166">
        <f>(X16*1000+SITE!$B$26+METHANATION!$B$26+'APPRO CO2 - RECUP BIOGAZ'!$B$26)*X13</f>
        <v>1461815.2575136488</v>
      </c>
      <c r="Y26" s="166">
        <f t="shared" si="47"/>
        <v>13695920.037568241</v>
      </c>
      <c r="Z26" s="183">
        <f>AVERAGE(O26:X26)</f>
        <v>1369592.0037568242</v>
      </c>
      <c r="AA26" s="167">
        <f t="shared" si="48"/>
        <v>27391840.075136483</v>
      </c>
      <c r="AB26" s="183">
        <f>AA26/$X$8</f>
        <v>1369592.0037568242</v>
      </c>
      <c r="AC26" s="262"/>
      <c r="AD26" s="262"/>
    </row>
    <row r="27" spans="1:30" x14ac:dyDescent="0.3">
      <c r="A27" s="324"/>
      <c r="B27" s="129" t="s">
        <v>251</v>
      </c>
      <c r="C27" s="205">
        <f>'MASS BALANCE'!$M$5*C14</f>
        <v>0</v>
      </c>
      <c r="D27" s="166">
        <f>'MASS BALANCE'!$M$5*D14</f>
        <v>0</v>
      </c>
      <c r="E27" s="166">
        <f>'MASS BALANCE'!$M$5*E14</f>
        <v>0</v>
      </c>
      <c r="F27" s="166">
        <f>'MASS BALANCE'!$M$5*F14</f>
        <v>0</v>
      </c>
      <c r="G27" s="166">
        <f>'MASS BALANCE'!$M$5*G14</f>
        <v>0</v>
      </c>
      <c r="H27" s="166">
        <f>'MASS BALANCE'!$M$5*H14</f>
        <v>0</v>
      </c>
      <c r="I27" s="166">
        <f>'MASS BALANCE'!$M$5*I14</f>
        <v>0</v>
      </c>
      <c r="J27" s="166">
        <f>'MASS BALANCE'!$M$5*J14</f>
        <v>0</v>
      </c>
      <c r="K27" s="166">
        <f>'MASS BALANCE'!$M$5*K14</f>
        <v>0</v>
      </c>
      <c r="L27" s="166">
        <f>'MASS BALANCE'!$M$5*L14</f>
        <v>0</v>
      </c>
      <c r="M27" s="165">
        <f t="shared" si="45"/>
        <v>0</v>
      </c>
      <c r="N27" s="226">
        <f>AVERAGE(C27:L27)</f>
        <v>0</v>
      </c>
      <c r="O27" s="205">
        <f>'MASS BALANCE'!$M$5*O14</f>
        <v>0</v>
      </c>
      <c r="P27" s="166">
        <f>'MASS BALANCE'!$M$5*P14</f>
        <v>0</v>
      </c>
      <c r="Q27" s="166">
        <f>'MASS BALANCE'!$M$5*Q14</f>
        <v>0</v>
      </c>
      <c r="R27" s="166">
        <f>'MASS BALANCE'!$M$5*R14</f>
        <v>0</v>
      </c>
      <c r="S27" s="166">
        <f>'MASS BALANCE'!$M$5*S14</f>
        <v>0</v>
      </c>
      <c r="T27" s="166">
        <f>'MASS BALANCE'!$M$5*T14</f>
        <v>0</v>
      </c>
      <c r="U27" s="166">
        <f>'MASS BALANCE'!$M$5*U14</f>
        <v>0</v>
      </c>
      <c r="V27" s="166">
        <f>'MASS BALANCE'!$M$5*V14</f>
        <v>0</v>
      </c>
      <c r="W27" s="166">
        <f>'MASS BALANCE'!$M$5*W14</f>
        <v>0</v>
      </c>
      <c r="X27" s="166">
        <f>'MASS BALANCE'!$M$5*X14</f>
        <v>0</v>
      </c>
      <c r="Y27" s="166">
        <f t="shared" si="47"/>
        <v>0</v>
      </c>
      <c r="Z27" s="183">
        <f>AVERAGE(O27:X27)</f>
        <v>0</v>
      </c>
      <c r="AA27" s="167">
        <f t="shared" si="48"/>
        <v>0</v>
      </c>
      <c r="AB27" s="183">
        <f>AA27/$X$8</f>
        <v>0</v>
      </c>
      <c r="AC27" s="262"/>
      <c r="AD27" s="262"/>
    </row>
    <row r="28" spans="1:30" x14ac:dyDescent="0.3">
      <c r="A28" s="324"/>
      <c r="B28" s="129" t="s">
        <v>253</v>
      </c>
      <c r="C28" s="205">
        <f>'PROD H2'!$B$35*REVENUS!C15</f>
        <v>40902.075091956416</v>
      </c>
      <c r="D28" s="166">
        <f>'PROD H2'!$B$35*REVENUS!D15</f>
        <v>40902.075091956416</v>
      </c>
      <c r="E28" s="166">
        <f>'PROD H2'!$B$35*REVENUS!E15</f>
        <v>40902.075091956416</v>
      </c>
      <c r="F28" s="166">
        <f>'PROD H2'!$B$35*REVENUS!F15</f>
        <v>40902.075091956416</v>
      </c>
      <c r="G28" s="166">
        <f>'PROD H2'!$B$35*REVENUS!G15</f>
        <v>40902.075091956416</v>
      </c>
      <c r="H28" s="166">
        <f>'PROD H2'!$B$35*REVENUS!H15</f>
        <v>40902.075091956416</v>
      </c>
      <c r="I28" s="166">
        <f>'PROD H2'!$B$35*REVENUS!I15</f>
        <v>40902.075091956416</v>
      </c>
      <c r="J28" s="166">
        <f>'PROD H2'!$B$35*REVENUS!J15</f>
        <v>40902.075091956416</v>
      </c>
      <c r="K28" s="166">
        <f>'PROD H2'!$B$35*REVENUS!K15</f>
        <v>40902.075091956416</v>
      </c>
      <c r="L28" s="166">
        <f>'PROD H2'!$B$35*REVENUS!L15</f>
        <v>40902.075091956416</v>
      </c>
      <c r="M28" s="165">
        <f t="shared" si="45"/>
        <v>409020.75091956416</v>
      </c>
      <c r="N28" s="226">
        <f>AVERAGE(C28:L28)</f>
        <v>40902.075091956416</v>
      </c>
      <c r="O28" s="205">
        <f>'PROD H2'!$B$35*REVENUS!O15</f>
        <v>40902.075091956416</v>
      </c>
      <c r="P28" s="166">
        <f>'PROD H2'!$B$35*REVENUS!P15</f>
        <v>40902.075091956416</v>
      </c>
      <c r="Q28" s="166">
        <f>'PROD H2'!$B$35*REVENUS!Q15</f>
        <v>40902.075091956416</v>
      </c>
      <c r="R28" s="166">
        <f>'PROD H2'!$B$35*REVENUS!R15</f>
        <v>40902.075091956416</v>
      </c>
      <c r="S28" s="166">
        <f>'PROD H2'!$B$35*REVENUS!S15</f>
        <v>40902.075091956416</v>
      </c>
      <c r="T28" s="166">
        <f>'PROD H2'!$B$35*REVENUS!T15</f>
        <v>40902.075091956416</v>
      </c>
      <c r="U28" s="166">
        <f>'PROD H2'!$B$35*REVENUS!U15</f>
        <v>40902.075091956416</v>
      </c>
      <c r="V28" s="166">
        <f>'PROD H2'!$B$35*REVENUS!V15</f>
        <v>40902.075091956416</v>
      </c>
      <c r="W28" s="166">
        <f>'PROD H2'!$B$35*REVENUS!W15</f>
        <v>40902.075091956416</v>
      </c>
      <c r="X28" s="166">
        <f>'PROD H2'!$B$35*REVENUS!X15</f>
        <v>40902.075091956416</v>
      </c>
      <c r="Y28" s="166">
        <f t="shared" si="47"/>
        <v>409020.75091956416</v>
      </c>
      <c r="Z28" s="183">
        <f>AVERAGE(O28:X28)</f>
        <v>40902.075091956416</v>
      </c>
      <c r="AA28" s="167">
        <f t="shared" si="48"/>
        <v>818041.50183912832</v>
      </c>
      <c r="AB28" s="183">
        <f>AA28/$X$8</f>
        <v>40902.075091956416</v>
      </c>
      <c r="AC28" s="262"/>
      <c r="AD28" s="262"/>
    </row>
    <row r="29" spans="1:30" x14ac:dyDescent="0.3">
      <c r="A29" s="324"/>
      <c r="B29" s="234" t="s">
        <v>265</v>
      </c>
      <c r="C29" s="235">
        <f t="shared" ref="C29:L29" si="50">SUM(C23:C28)</f>
        <v>2446830.8250919562</v>
      </c>
      <c r="D29" s="236">
        <f t="shared" si="50"/>
        <v>2467324.8814823618</v>
      </c>
      <c r="E29" s="236">
        <f t="shared" si="50"/>
        <v>2487818.9378727674</v>
      </c>
      <c r="F29" s="236">
        <f t="shared" si="50"/>
        <v>2508312.9942631721</v>
      </c>
      <c r="G29" s="236">
        <f t="shared" si="50"/>
        <v>2528807.0506535778</v>
      </c>
      <c r="H29" s="236">
        <f t="shared" si="50"/>
        <v>2549301.1070439834</v>
      </c>
      <c r="I29" s="236">
        <f t="shared" si="50"/>
        <v>2569795.1634343881</v>
      </c>
      <c r="J29" s="236">
        <f t="shared" si="50"/>
        <v>2590289.2198247937</v>
      </c>
      <c r="K29" s="236">
        <f t="shared" si="50"/>
        <v>2610783.2762151994</v>
      </c>
      <c r="L29" s="236">
        <f t="shared" si="50"/>
        <v>2631277.332605605</v>
      </c>
      <c r="M29" s="237">
        <f t="shared" ref="M29" si="51">SUM(C29:L29)</f>
        <v>25390540.788487803</v>
      </c>
      <c r="N29" s="238">
        <f t="shared" ref="N29" si="52">AVERAGE(C29:L29)</f>
        <v>2539054.0788487801</v>
      </c>
      <c r="O29" s="235">
        <f t="shared" ref="O29:X29" si="53">SUM(O23:O28)</f>
        <v>1623420.8250919564</v>
      </c>
      <c r="P29" s="236">
        <f t="shared" si="53"/>
        <v>1643914.8814823616</v>
      </c>
      <c r="Q29" s="236">
        <f t="shared" si="53"/>
        <v>1664408.9378727672</v>
      </c>
      <c r="R29" s="236">
        <f t="shared" si="53"/>
        <v>1684902.9942631726</v>
      </c>
      <c r="S29" s="236">
        <f t="shared" si="53"/>
        <v>1705397.050653578</v>
      </c>
      <c r="T29" s="236">
        <f t="shared" si="53"/>
        <v>1725891.1070439832</v>
      </c>
      <c r="U29" s="236">
        <f t="shared" si="53"/>
        <v>1746385.1634343886</v>
      </c>
      <c r="V29" s="236">
        <f t="shared" si="53"/>
        <v>1766879.2198247942</v>
      </c>
      <c r="W29" s="236">
        <f t="shared" si="53"/>
        <v>1787373.2762151994</v>
      </c>
      <c r="X29" s="236">
        <f t="shared" si="53"/>
        <v>1807867.3326056052</v>
      </c>
      <c r="Y29" s="239">
        <f t="shared" ref="Y29" si="54">SUM(O29:X29)</f>
        <v>17156440.788487807</v>
      </c>
      <c r="Z29" s="240">
        <f t="shared" ref="Z29" si="55">AVERAGE(O29:X29)</f>
        <v>1715644.0788487806</v>
      </c>
      <c r="AA29" s="241">
        <f t="shared" ref="AA29" si="56">M29+Y29</f>
        <v>42546981.576975614</v>
      </c>
      <c r="AB29" s="240">
        <f t="shared" ref="AB29" si="57">AA29/$X$8</f>
        <v>2127349.0788487806</v>
      </c>
      <c r="AC29" s="262"/>
      <c r="AD29" s="262"/>
    </row>
    <row r="30" spans="1:30" x14ac:dyDescent="0.3">
      <c r="A30" s="324"/>
      <c r="B30" s="169" t="s">
        <v>257</v>
      </c>
      <c r="C30" s="193">
        <f t="shared" ref="C30:L30" si="58">C29/C9</f>
        <v>1.696857103912</v>
      </c>
      <c r="D30" s="190">
        <f t="shared" si="58"/>
        <v>1.7110695638897861</v>
      </c>
      <c r="E30" s="190">
        <f t="shared" si="58"/>
        <v>1.7252820238675721</v>
      </c>
      <c r="F30" s="190">
        <f t="shared" si="58"/>
        <v>1.7394944838453577</v>
      </c>
      <c r="G30" s="190">
        <f t="shared" si="58"/>
        <v>1.7537069438231438</v>
      </c>
      <c r="H30" s="190">
        <f t="shared" si="58"/>
        <v>1.76791940380093</v>
      </c>
      <c r="I30" s="190">
        <f t="shared" si="58"/>
        <v>1.7821318637787156</v>
      </c>
      <c r="J30" s="190">
        <f t="shared" si="58"/>
        <v>1.7963443237565018</v>
      </c>
      <c r="K30" s="190">
        <f t="shared" si="58"/>
        <v>1.810556783734288</v>
      </c>
      <c r="L30" s="190">
        <f t="shared" si="58"/>
        <v>1.8247692437120742</v>
      </c>
      <c r="M30" s="191"/>
      <c r="N30" s="227">
        <f>AVERAGE(C30:L30)</f>
        <v>1.7608131738120367</v>
      </c>
      <c r="O30" s="193">
        <f t="shared" ref="O30:X30" si="59">O29/O9</f>
        <v>1.1258290239957394</v>
      </c>
      <c r="P30" s="190">
        <f t="shared" si="59"/>
        <v>1.1400414839735251</v>
      </c>
      <c r="Q30" s="190">
        <f t="shared" si="59"/>
        <v>1.1542539439513113</v>
      </c>
      <c r="R30" s="190">
        <f t="shared" si="59"/>
        <v>1.1684664039290973</v>
      </c>
      <c r="S30" s="190">
        <f t="shared" si="59"/>
        <v>1.1826788639068833</v>
      </c>
      <c r="T30" s="190">
        <f t="shared" si="59"/>
        <v>1.1968913238846692</v>
      </c>
      <c r="U30" s="190">
        <f t="shared" si="59"/>
        <v>1.2111037838624552</v>
      </c>
      <c r="V30" s="190">
        <f t="shared" si="59"/>
        <v>1.2253162438402412</v>
      </c>
      <c r="W30" s="190">
        <f t="shared" si="59"/>
        <v>1.2395287038180272</v>
      </c>
      <c r="X30" s="190">
        <f t="shared" si="59"/>
        <v>1.2537411637958134</v>
      </c>
      <c r="Y30" s="191"/>
      <c r="Z30" s="192">
        <f t="shared" ref="Z30:Z35" si="60">AVERAGE(O30:X30)</f>
        <v>1.1897850938957766</v>
      </c>
      <c r="AA30" s="190"/>
      <c r="AB30" s="194">
        <f>AVERAGE(N30,Z30)</f>
        <v>1.4752991338539068</v>
      </c>
      <c r="AC30" s="262"/>
      <c r="AD30" s="262"/>
    </row>
    <row r="31" spans="1:30" ht="15" thickBot="1" x14ac:dyDescent="0.35">
      <c r="A31" s="325"/>
      <c r="B31" s="189" t="s">
        <v>259</v>
      </c>
      <c r="C31" s="198">
        <f>C29/(C9*'MASS BALANCE'!$F$20/1000)</f>
        <v>122.07605064115107</v>
      </c>
      <c r="D31" s="195">
        <f>D29/(D9*'MASS BALANCE'!$F$20/1000)</f>
        <v>123.09852977624359</v>
      </c>
      <c r="E31" s="195">
        <f>E29/(E9*'MASS BALANCE'!$F$20/1000)</f>
        <v>124.12100891133613</v>
      </c>
      <c r="F31" s="195">
        <f>F29/(F9*'MASS BALANCE'!$F$20/1000)</f>
        <v>125.14348804642862</v>
      </c>
      <c r="G31" s="195">
        <f>G29/(G9*'MASS BALANCE'!$F$20/1000)</f>
        <v>126.16596718152114</v>
      </c>
      <c r="H31" s="195">
        <f>H29/(H9*'MASS BALANCE'!$F$20/1000)</f>
        <v>127.18844631661368</v>
      </c>
      <c r="I31" s="195">
        <f>I29/(I9*'MASS BALANCE'!$F$20/1000)</f>
        <v>128.21092545170615</v>
      </c>
      <c r="J31" s="195">
        <f>J29/(J9*'MASS BALANCE'!$F$20/1000)</f>
        <v>129.23340458679868</v>
      </c>
      <c r="K31" s="195">
        <f>K29/(K9*'MASS BALANCE'!$F$20/1000)</f>
        <v>130.25588372189122</v>
      </c>
      <c r="L31" s="195">
        <f>L29/(L9*'MASS BALANCE'!$F$20/1000)</f>
        <v>131.27836285698373</v>
      </c>
      <c r="M31" s="196"/>
      <c r="N31" s="228">
        <f>AVERAGE(C31:L31)</f>
        <v>126.67720674906741</v>
      </c>
      <c r="O31" s="198">
        <f>O29/(O9*'MASS BALANCE'!$F$20/1000)</f>
        <v>80.994893812643113</v>
      </c>
      <c r="P31" s="195">
        <f>P29/(P9*'MASS BALANCE'!$F$20/1000)</f>
        <v>82.017372947735623</v>
      </c>
      <c r="Q31" s="195">
        <f>Q29/(Q9*'MASS BALANCE'!$F$20/1000)</f>
        <v>83.039852082828148</v>
      </c>
      <c r="R31" s="195">
        <f>R29/(R9*'MASS BALANCE'!$F$20/1000)</f>
        <v>84.062331217920672</v>
      </c>
      <c r="S31" s="195">
        <f>S29/(S9*'MASS BALANCE'!$F$20/1000)</f>
        <v>85.084810353013182</v>
      </c>
      <c r="T31" s="195">
        <f>T29/(T9*'MASS BALANCE'!$F$20/1000)</f>
        <v>86.107289488105692</v>
      </c>
      <c r="U31" s="195">
        <f>U29/(U9*'MASS BALANCE'!$F$20/1000)</f>
        <v>87.129768623198203</v>
      </c>
      <c r="V31" s="195">
        <f>V29/(V9*'MASS BALANCE'!$F$20/1000)</f>
        <v>88.152247758290741</v>
      </c>
      <c r="W31" s="195">
        <f>W29/(W9*'MASS BALANCE'!$F$20/1000)</f>
        <v>89.174726893383252</v>
      </c>
      <c r="X31" s="195">
        <f>X29/(X9*'MASS BALANCE'!$F$20/1000)</f>
        <v>90.19720602847579</v>
      </c>
      <c r="Y31" s="196"/>
      <c r="Z31" s="197">
        <f t="shared" si="60"/>
        <v>85.596049920559437</v>
      </c>
      <c r="AA31" s="195"/>
      <c r="AB31" s="199">
        <f>AVERAGE(N31,Z31)</f>
        <v>106.13662833481342</v>
      </c>
      <c r="AC31" s="262"/>
      <c r="AD31" s="262"/>
    </row>
    <row r="32" spans="1:30" x14ac:dyDescent="0.3">
      <c r="A32" s="323" t="s">
        <v>205</v>
      </c>
      <c r="B32" s="135" t="s">
        <v>261</v>
      </c>
      <c r="C32" s="232">
        <f>LCOH!K4</f>
        <v>100</v>
      </c>
      <c r="D32" s="210">
        <f>C32+C32*$C$4</f>
        <v>100</v>
      </c>
      <c r="E32" s="210">
        <f t="shared" ref="E32:L32" si="61">D32+D32*$C$4</f>
        <v>100</v>
      </c>
      <c r="F32" s="210">
        <f t="shared" si="61"/>
        <v>100</v>
      </c>
      <c r="G32" s="210">
        <f t="shared" si="61"/>
        <v>100</v>
      </c>
      <c r="H32" s="210">
        <f t="shared" si="61"/>
        <v>100</v>
      </c>
      <c r="I32" s="210">
        <f t="shared" si="61"/>
        <v>100</v>
      </c>
      <c r="J32" s="210">
        <f t="shared" si="61"/>
        <v>100</v>
      </c>
      <c r="K32" s="210">
        <f t="shared" si="61"/>
        <v>100</v>
      </c>
      <c r="L32" s="210">
        <f t="shared" si="61"/>
        <v>100</v>
      </c>
      <c r="M32" s="180"/>
      <c r="N32" s="242">
        <f t="shared" ref="N32:N33" si="62">AVERAGE(C32:L32)</f>
        <v>100</v>
      </c>
      <c r="O32" s="232">
        <f>L32+L32*$C$4</f>
        <v>100</v>
      </c>
      <c r="P32" s="209">
        <f t="shared" ref="P32:X32" si="63">O32+O32*$C$4</f>
        <v>100</v>
      </c>
      <c r="Q32" s="209">
        <f t="shared" si="63"/>
        <v>100</v>
      </c>
      <c r="R32" s="209">
        <f t="shared" si="63"/>
        <v>100</v>
      </c>
      <c r="S32" s="209">
        <f t="shared" si="63"/>
        <v>100</v>
      </c>
      <c r="T32" s="209">
        <f t="shared" si="63"/>
        <v>100</v>
      </c>
      <c r="U32" s="209">
        <f t="shared" si="63"/>
        <v>100</v>
      </c>
      <c r="V32" s="209">
        <f t="shared" si="63"/>
        <v>100</v>
      </c>
      <c r="W32" s="209">
        <f t="shared" si="63"/>
        <v>100</v>
      </c>
      <c r="X32" s="209">
        <f t="shared" si="63"/>
        <v>100</v>
      </c>
      <c r="Y32" s="210"/>
      <c r="Z32" s="211">
        <f t="shared" si="60"/>
        <v>100</v>
      </c>
      <c r="AA32" s="232"/>
      <c r="AB32" s="212">
        <f>AVERAGE(N32,Z32)</f>
        <v>100</v>
      </c>
      <c r="AC32" s="262"/>
      <c r="AD32" s="262"/>
    </row>
    <row r="33" spans="1:30" x14ac:dyDescent="0.3">
      <c r="A33" s="324"/>
      <c r="B33" s="129" t="s">
        <v>262</v>
      </c>
      <c r="C33" s="187">
        <f>LCOH!K5/1000</f>
        <v>3.2000000000000001E-2</v>
      </c>
      <c r="D33" s="185">
        <f>C33+C33*$C$5</f>
        <v>3.2000000000000001E-2</v>
      </c>
      <c r="E33" s="185">
        <f t="shared" ref="E33:L33" si="64">D33+D33*$C$5</f>
        <v>3.2000000000000001E-2</v>
      </c>
      <c r="F33" s="185">
        <f t="shared" si="64"/>
        <v>3.2000000000000001E-2</v>
      </c>
      <c r="G33" s="185">
        <f t="shared" si="64"/>
        <v>3.2000000000000001E-2</v>
      </c>
      <c r="H33" s="185">
        <f t="shared" si="64"/>
        <v>3.2000000000000001E-2</v>
      </c>
      <c r="I33" s="185">
        <f t="shared" si="64"/>
        <v>3.2000000000000001E-2</v>
      </c>
      <c r="J33" s="185">
        <f t="shared" si="64"/>
        <v>3.2000000000000001E-2</v>
      </c>
      <c r="K33" s="185">
        <f t="shared" si="64"/>
        <v>3.2000000000000001E-2</v>
      </c>
      <c r="L33" s="185">
        <f t="shared" si="64"/>
        <v>3.2000000000000001E-2</v>
      </c>
      <c r="M33" s="185"/>
      <c r="N33" s="243">
        <f t="shared" si="62"/>
        <v>3.2000000000000008E-2</v>
      </c>
      <c r="O33" s="187">
        <f>L33+L33*$C$5</f>
        <v>3.2000000000000001E-2</v>
      </c>
      <c r="P33" s="184">
        <f t="shared" ref="P33:X33" si="65">O33+O33*$C$5</f>
        <v>3.2000000000000001E-2</v>
      </c>
      <c r="Q33" s="184">
        <f t="shared" si="65"/>
        <v>3.2000000000000001E-2</v>
      </c>
      <c r="R33" s="184">
        <f t="shared" si="65"/>
        <v>3.2000000000000001E-2</v>
      </c>
      <c r="S33" s="184">
        <f t="shared" si="65"/>
        <v>3.2000000000000001E-2</v>
      </c>
      <c r="T33" s="184">
        <f t="shared" si="65"/>
        <v>3.2000000000000001E-2</v>
      </c>
      <c r="U33" s="184">
        <f t="shared" si="65"/>
        <v>3.2000000000000001E-2</v>
      </c>
      <c r="V33" s="184">
        <f t="shared" si="65"/>
        <v>3.2000000000000001E-2</v>
      </c>
      <c r="W33" s="184">
        <f t="shared" si="65"/>
        <v>3.2000000000000001E-2</v>
      </c>
      <c r="X33" s="184">
        <f t="shared" si="65"/>
        <v>3.2000000000000001E-2</v>
      </c>
      <c r="Y33" s="185"/>
      <c r="Z33" s="186">
        <f t="shared" si="60"/>
        <v>3.2000000000000008E-2</v>
      </c>
      <c r="AA33" s="187"/>
      <c r="AB33" s="188">
        <f>AVERAGE(N33,Z33)</f>
        <v>3.2000000000000008E-2</v>
      </c>
      <c r="AC33" s="262"/>
      <c r="AD33" s="262"/>
    </row>
    <row r="34" spans="1:30" x14ac:dyDescent="0.3">
      <c r="A34" s="324"/>
      <c r="B34" s="129" t="s">
        <v>260</v>
      </c>
      <c r="C34" s="205">
        <f>(C10*1000)*C32</f>
        <v>2004349.5937500005</v>
      </c>
      <c r="D34" s="166">
        <f>(D10*1000)*D32</f>
        <v>2004349.5937500005</v>
      </c>
      <c r="E34" s="166">
        <f t="shared" ref="E34:L34" si="66">(E10*1000)*E32</f>
        <v>2004349.5937500005</v>
      </c>
      <c r="F34" s="166">
        <f t="shared" si="66"/>
        <v>2004349.5937500005</v>
      </c>
      <c r="G34" s="166">
        <f t="shared" si="66"/>
        <v>2004349.5937500005</v>
      </c>
      <c r="H34" s="166">
        <f t="shared" si="66"/>
        <v>2004349.5937500005</v>
      </c>
      <c r="I34" s="166">
        <f t="shared" si="66"/>
        <v>2004349.5937500005</v>
      </c>
      <c r="J34" s="166">
        <f t="shared" si="66"/>
        <v>2004349.5937500005</v>
      </c>
      <c r="K34" s="166">
        <f t="shared" si="66"/>
        <v>2004349.5937500005</v>
      </c>
      <c r="L34" s="166">
        <f t="shared" si="66"/>
        <v>2004349.5937500005</v>
      </c>
      <c r="M34" s="165">
        <f t="shared" ref="M34" si="67">SUM(C34:L34)</f>
        <v>20043495.937500004</v>
      </c>
      <c r="N34" s="183">
        <f t="shared" ref="N34" si="68">AVERAGE(C34:L34)</f>
        <v>2004349.5937500005</v>
      </c>
      <c r="O34" s="205">
        <f t="shared" ref="O34:X34" si="69">(O10*1000)*O32</f>
        <v>2004349.5937500005</v>
      </c>
      <c r="P34" s="167">
        <f t="shared" si="69"/>
        <v>2004349.5937500005</v>
      </c>
      <c r="Q34" s="167">
        <f t="shared" si="69"/>
        <v>2004349.5937500005</v>
      </c>
      <c r="R34" s="167">
        <f t="shared" si="69"/>
        <v>2004349.5937500005</v>
      </c>
      <c r="S34" s="167">
        <f t="shared" si="69"/>
        <v>2004349.5937500005</v>
      </c>
      <c r="T34" s="167">
        <f t="shared" si="69"/>
        <v>2004349.5937500005</v>
      </c>
      <c r="U34" s="167">
        <f t="shared" si="69"/>
        <v>2004349.5937500005</v>
      </c>
      <c r="V34" s="167">
        <f t="shared" si="69"/>
        <v>2004349.5937500005</v>
      </c>
      <c r="W34" s="167">
        <f t="shared" si="69"/>
        <v>2004349.5937500005</v>
      </c>
      <c r="X34" s="167">
        <f t="shared" si="69"/>
        <v>2004349.5937500005</v>
      </c>
      <c r="Y34" s="166">
        <f>SUM(O34:X34)</f>
        <v>20043495.937500004</v>
      </c>
      <c r="Z34" s="183">
        <f t="shared" si="60"/>
        <v>2004349.5937500005</v>
      </c>
      <c r="AA34" s="205">
        <f>M34+Y34</f>
        <v>40086991.875000007</v>
      </c>
      <c r="AB34" s="183">
        <f>AA34/$X$8</f>
        <v>2004349.5937500005</v>
      </c>
      <c r="AC34" s="262"/>
      <c r="AD34" s="262"/>
    </row>
    <row r="35" spans="1:30" x14ac:dyDescent="0.3">
      <c r="A35" s="324"/>
      <c r="B35" s="129" t="s">
        <v>263</v>
      </c>
      <c r="C35" s="206">
        <f>C12*C33</f>
        <v>138851.30000000005</v>
      </c>
      <c r="D35" s="6">
        <f t="shared" ref="D35:K35" si="70">D12*D33</f>
        <v>138851.30000000005</v>
      </c>
      <c r="E35" s="6">
        <f t="shared" si="70"/>
        <v>138851.30000000005</v>
      </c>
      <c r="F35" s="6">
        <f t="shared" si="70"/>
        <v>138851.30000000005</v>
      </c>
      <c r="G35" s="6">
        <f t="shared" si="70"/>
        <v>138851.30000000005</v>
      </c>
      <c r="H35" s="6">
        <f t="shared" si="70"/>
        <v>138851.30000000005</v>
      </c>
      <c r="I35" s="6">
        <f t="shared" si="70"/>
        <v>138851.30000000005</v>
      </c>
      <c r="J35" s="6">
        <f t="shared" si="70"/>
        <v>138851.30000000005</v>
      </c>
      <c r="K35" s="6">
        <f t="shared" si="70"/>
        <v>138851.30000000005</v>
      </c>
      <c r="L35" s="6">
        <f>L12*L33</f>
        <v>138851.30000000005</v>
      </c>
      <c r="M35" s="165">
        <f t="shared" ref="M35" si="71">SUM(C35:L35)</f>
        <v>1388513.0000000005</v>
      </c>
      <c r="N35" s="183">
        <f t="shared" ref="N35:N37" si="72">AVERAGE(C35:L35)</f>
        <v>138851.30000000005</v>
      </c>
      <c r="O35" s="206">
        <f>O12*O33</f>
        <v>138851.30000000005</v>
      </c>
      <c r="P35" s="168">
        <f>P12*P33</f>
        <v>138851.30000000005</v>
      </c>
      <c r="Q35" s="168">
        <f t="shared" ref="Q35:X35" si="73">Q12*Q33</f>
        <v>138851.30000000005</v>
      </c>
      <c r="R35" s="168">
        <f t="shared" si="73"/>
        <v>138851.30000000005</v>
      </c>
      <c r="S35" s="168">
        <f t="shared" si="73"/>
        <v>138851.30000000005</v>
      </c>
      <c r="T35" s="168">
        <f t="shared" si="73"/>
        <v>138851.30000000005</v>
      </c>
      <c r="U35" s="168">
        <f t="shared" si="73"/>
        <v>138851.30000000005</v>
      </c>
      <c r="V35" s="168">
        <f t="shared" si="73"/>
        <v>138851.30000000005</v>
      </c>
      <c r="W35" s="168">
        <f t="shared" si="73"/>
        <v>138851.30000000005</v>
      </c>
      <c r="X35" s="168">
        <f t="shared" si="73"/>
        <v>138851.30000000005</v>
      </c>
      <c r="Y35" s="166">
        <f>SUM(O35:X35)</f>
        <v>1388513.0000000005</v>
      </c>
      <c r="Z35" s="183">
        <f t="shared" si="60"/>
        <v>138851.30000000005</v>
      </c>
      <c r="AA35" s="205">
        <f>M35+Y35</f>
        <v>2777026.0000000009</v>
      </c>
      <c r="AB35" s="183">
        <f>AA35/$X$8</f>
        <v>138851.30000000005</v>
      </c>
      <c r="AC35" s="262"/>
      <c r="AD35" s="262"/>
    </row>
    <row r="36" spans="1:30" ht="15" thickBot="1" x14ac:dyDescent="0.35">
      <c r="A36" s="325"/>
      <c r="B36" s="244" t="s">
        <v>264</v>
      </c>
      <c r="C36" s="250">
        <f>SUM(C34:C35)</f>
        <v>2143200.8937500007</v>
      </c>
      <c r="D36" s="251">
        <f t="shared" ref="D36:L36" si="74">SUM(D34:D35)</f>
        <v>2143200.8937500007</v>
      </c>
      <c r="E36" s="251">
        <f t="shared" si="74"/>
        <v>2143200.8937500007</v>
      </c>
      <c r="F36" s="251">
        <f t="shared" si="74"/>
        <v>2143200.8937500007</v>
      </c>
      <c r="G36" s="251">
        <f t="shared" si="74"/>
        <v>2143200.8937500007</v>
      </c>
      <c r="H36" s="251">
        <f t="shared" si="74"/>
        <v>2143200.8937500007</v>
      </c>
      <c r="I36" s="251">
        <f t="shared" si="74"/>
        <v>2143200.8937500007</v>
      </c>
      <c r="J36" s="251">
        <f t="shared" si="74"/>
        <v>2143200.8937500007</v>
      </c>
      <c r="K36" s="251">
        <f t="shared" si="74"/>
        <v>2143200.8937500007</v>
      </c>
      <c r="L36" s="251">
        <f t="shared" si="74"/>
        <v>2143200.8937500007</v>
      </c>
      <c r="M36" s="247">
        <f t="shared" ref="M36" si="75">SUM(C36:L36)</f>
        <v>21432008.937500007</v>
      </c>
      <c r="N36" s="248">
        <f t="shared" ref="N36" si="76">AVERAGE(C36:L36)</f>
        <v>2143200.8937500007</v>
      </c>
      <c r="O36" s="245">
        <f>SUM(O34:O35)</f>
        <v>2143200.8937500007</v>
      </c>
      <c r="P36" s="246">
        <f t="shared" ref="P36" si="77">SUM(P34:P35)</f>
        <v>2143200.8937500007</v>
      </c>
      <c r="Q36" s="246">
        <f t="shared" ref="Q36" si="78">SUM(Q34:Q35)</f>
        <v>2143200.8937500007</v>
      </c>
      <c r="R36" s="246">
        <f t="shared" ref="R36" si="79">SUM(R34:R35)</f>
        <v>2143200.8937500007</v>
      </c>
      <c r="S36" s="246">
        <f t="shared" ref="S36" si="80">SUM(S34:S35)</f>
        <v>2143200.8937500007</v>
      </c>
      <c r="T36" s="246">
        <f t="shared" ref="T36" si="81">SUM(T34:T35)</f>
        <v>2143200.8937500007</v>
      </c>
      <c r="U36" s="246">
        <f t="shared" ref="U36" si="82">SUM(U34:U35)</f>
        <v>2143200.8937500007</v>
      </c>
      <c r="V36" s="246">
        <f t="shared" ref="V36" si="83">SUM(V34:V35)</f>
        <v>2143200.8937500007</v>
      </c>
      <c r="W36" s="246">
        <f t="shared" ref="W36" si="84">SUM(W34:W35)</f>
        <v>2143200.8937500007</v>
      </c>
      <c r="X36" s="246">
        <f t="shared" ref="X36" si="85">SUM(X34:X35)</f>
        <v>2143200.8937500007</v>
      </c>
      <c r="Y36" s="247">
        <f t="shared" ref="Y36" si="86">SUM(O36:X36)</f>
        <v>21432008.937500007</v>
      </c>
      <c r="Z36" s="248">
        <f t="shared" ref="Z36:Z37" si="87">AVERAGE(O36:X36)</f>
        <v>2143200.8937500007</v>
      </c>
      <c r="AA36" s="249">
        <f>M36+Y36</f>
        <v>42864017.875000015</v>
      </c>
      <c r="AB36" s="248">
        <f>AA36/$X$8</f>
        <v>2143200.8937500007</v>
      </c>
      <c r="AC36" s="262"/>
      <c r="AD36" s="262"/>
    </row>
    <row r="37" spans="1:30" ht="16.2" thickBot="1" x14ac:dyDescent="0.35">
      <c r="A37" s="18"/>
      <c r="B37" s="252" t="s">
        <v>117</v>
      </c>
      <c r="C37" s="253">
        <f>C36-C29</f>
        <v>-303629.93134195544</v>
      </c>
      <c r="D37" s="254">
        <f>D36-D29</f>
        <v>-324123.98773236107</v>
      </c>
      <c r="E37" s="254">
        <f t="shared" ref="E37:L37" si="88">E36-E29</f>
        <v>-344618.0441227667</v>
      </c>
      <c r="F37" s="254">
        <f t="shared" si="88"/>
        <v>-365112.1005131714</v>
      </c>
      <c r="G37" s="254">
        <f t="shared" si="88"/>
        <v>-385606.15690357704</v>
      </c>
      <c r="H37" s="254">
        <f t="shared" si="88"/>
        <v>-406100.21329398267</v>
      </c>
      <c r="I37" s="254">
        <f t="shared" si="88"/>
        <v>-426594.26968438737</v>
      </c>
      <c r="J37" s="254">
        <f t="shared" si="88"/>
        <v>-447088.326074793</v>
      </c>
      <c r="K37" s="254">
        <f t="shared" si="88"/>
        <v>-467582.38246519864</v>
      </c>
      <c r="L37" s="254">
        <f t="shared" si="88"/>
        <v>-488076.43885560427</v>
      </c>
      <c r="M37" s="254">
        <f>SUM(C37:L37)</f>
        <v>-3958531.8509877976</v>
      </c>
      <c r="N37" s="255">
        <f t="shared" si="72"/>
        <v>-395853.18509877974</v>
      </c>
      <c r="O37" s="253">
        <f>O36-O29</f>
        <v>519780.06865804433</v>
      </c>
      <c r="P37" s="254">
        <f>P36-P29</f>
        <v>499286.01226763916</v>
      </c>
      <c r="Q37" s="254">
        <f t="shared" ref="Q37" si="89">Q36-Q29</f>
        <v>478791.95587723353</v>
      </c>
      <c r="R37" s="254">
        <f t="shared" ref="R37" si="90">R36-R29</f>
        <v>458297.89948682813</v>
      </c>
      <c r="S37" s="254">
        <f t="shared" ref="S37" si="91">S36-S29</f>
        <v>437803.84309642273</v>
      </c>
      <c r="T37" s="254">
        <f t="shared" ref="T37" si="92">T36-T29</f>
        <v>417309.78670601756</v>
      </c>
      <c r="U37" s="254">
        <f t="shared" ref="U37" si="93">U36-U29</f>
        <v>396815.73031561216</v>
      </c>
      <c r="V37" s="254">
        <f t="shared" ref="V37" si="94">V36-V29</f>
        <v>376321.67392520653</v>
      </c>
      <c r="W37" s="254">
        <f t="shared" ref="W37" si="95">W36-W29</f>
        <v>355827.61753480136</v>
      </c>
      <c r="X37" s="254">
        <f t="shared" ref="X37" si="96">X36-X29</f>
        <v>335333.5611443955</v>
      </c>
      <c r="Y37" s="254">
        <f>SUM(O37:X37)</f>
        <v>4275568.1490122015</v>
      </c>
      <c r="Z37" s="255">
        <f t="shared" si="87"/>
        <v>427556.81490122015</v>
      </c>
      <c r="AA37" s="256">
        <f>M37+Y37</f>
        <v>317036.29802440386</v>
      </c>
      <c r="AB37" s="257">
        <f>AA37/$X$8</f>
        <v>15851.814901220194</v>
      </c>
      <c r="AC37" s="262"/>
      <c r="AD37" s="262"/>
    </row>
    <row r="38" spans="1:30" x14ac:dyDescent="0.3">
      <c r="A38" s="262"/>
      <c r="B38" s="262"/>
      <c r="C38" s="262"/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</row>
    <row r="39" spans="1:30" x14ac:dyDescent="0.3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</row>
    <row r="40" spans="1:30" x14ac:dyDescent="0.3">
      <c r="A40" s="262"/>
      <c r="B40" s="262"/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</row>
    <row r="41" spans="1:30" x14ac:dyDescent="0.3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</row>
    <row r="42" spans="1:30" x14ac:dyDescent="0.3">
      <c r="A42" s="262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</row>
    <row r="43" spans="1:30" x14ac:dyDescent="0.3">
      <c r="A43" s="262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</row>
    <row r="44" spans="1:30" x14ac:dyDescent="0.3">
      <c r="A44" s="262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</row>
    <row r="45" spans="1:30" x14ac:dyDescent="0.3">
      <c r="A45" s="262"/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</row>
    <row r="46" spans="1:30" x14ac:dyDescent="0.3">
      <c r="A46" s="262"/>
      <c r="B46" s="262"/>
      <c r="C46" s="262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</row>
    <row r="47" spans="1:30" x14ac:dyDescent="0.3">
      <c r="A47" s="262"/>
      <c r="B47" s="262"/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</row>
    <row r="48" spans="1:30" x14ac:dyDescent="0.3">
      <c r="A48" s="262"/>
      <c r="B48" s="262"/>
      <c r="C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</row>
    <row r="49" spans="1:30" x14ac:dyDescent="0.3">
      <c r="A49" s="262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</row>
    <row r="50" spans="1:30" x14ac:dyDescent="0.3">
      <c r="AC50" s="262"/>
      <c r="AD50" s="262"/>
    </row>
    <row r="51" spans="1:30" x14ac:dyDescent="0.3">
      <c r="AC51" s="262"/>
      <c r="AD51" s="262"/>
    </row>
    <row r="52" spans="1:30" x14ac:dyDescent="0.3">
      <c r="AC52" s="262"/>
      <c r="AD52" s="262"/>
    </row>
    <row r="53" spans="1:30" x14ac:dyDescent="0.3">
      <c r="AC53" s="262"/>
      <c r="AD53" s="262"/>
    </row>
    <row r="54" spans="1:30" x14ac:dyDescent="0.3">
      <c r="AC54" s="262"/>
      <c r="AD54" s="262"/>
    </row>
    <row r="55" spans="1:30" x14ac:dyDescent="0.3">
      <c r="AC55" s="262"/>
      <c r="AD55" s="262"/>
    </row>
    <row r="56" spans="1:30" x14ac:dyDescent="0.3">
      <c r="AC56" s="262"/>
      <c r="AD56" s="262"/>
    </row>
    <row r="57" spans="1:30" x14ac:dyDescent="0.3">
      <c r="AC57" s="262"/>
      <c r="AD57" s="262"/>
    </row>
    <row r="58" spans="1:30" x14ac:dyDescent="0.3">
      <c r="AC58" s="262"/>
      <c r="AD58" s="262"/>
    </row>
    <row r="59" spans="1:30" x14ac:dyDescent="0.3">
      <c r="AC59" s="262"/>
      <c r="AD59" s="262"/>
    </row>
    <row r="60" spans="1:30" x14ac:dyDescent="0.3">
      <c r="AC60" s="262"/>
      <c r="AD60" s="262"/>
    </row>
    <row r="61" spans="1:30" x14ac:dyDescent="0.3">
      <c r="AC61" s="262"/>
      <c r="AD61" s="262"/>
    </row>
    <row r="62" spans="1:30" x14ac:dyDescent="0.3">
      <c r="AC62" s="262"/>
      <c r="AD62" s="262"/>
    </row>
    <row r="63" spans="1:30" x14ac:dyDescent="0.3">
      <c r="AC63" s="262"/>
      <c r="AD63" s="262"/>
    </row>
    <row r="64" spans="1:30" x14ac:dyDescent="0.3">
      <c r="AC64" s="262"/>
      <c r="AD64" s="262"/>
    </row>
    <row r="65" spans="29:30" x14ac:dyDescent="0.3">
      <c r="AC65" s="262"/>
      <c r="AD65" s="262"/>
    </row>
    <row r="66" spans="29:30" x14ac:dyDescent="0.3">
      <c r="AC66" s="262"/>
      <c r="AD66" s="262"/>
    </row>
    <row r="67" spans="29:30" x14ac:dyDescent="0.3">
      <c r="AC67" s="262"/>
      <c r="AD67" s="262"/>
    </row>
    <row r="68" spans="29:30" x14ac:dyDescent="0.3">
      <c r="AC68" s="262"/>
      <c r="AD68" s="262"/>
    </row>
    <row r="69" spans="29:30" x14ac:dyDescent="0.3">
      <c r="AC69" s="262"/>
      <c r="AD69" s="262"/>
    </row>
    <row r="70" spans="29:30" x14ac:dyDescent="0.3">
      <c r="AC70" s="262"/>
      <c r="AD70" s="262"/>
    </row>
    <row r="71" spans="29:30" x14ac:dyDescent="0.3">
      <c r="AC71" s="262"/>
      <c r="AD71" s="262"/>
    </row>
    <row r="72" spans="29:30" x14ac:dyDescent="0.3">
      <c r="AC72" s="262"/>
      <c r="AD72" s="262"/>
    </row>
    <row r="73" spans="29:30" x14ac:dyDescent="0.3">
      <c r="AC73" s="262"/>
      <c r="AD73" s="262"/>
    </row>
    <row r="74" spans="29:30" x14ac:dyDescent="0.3">
      <c r="AC74" s="262"/>
      <c r="AD74" s="262"/>
    </row>
    <row r="75" spans="29:30" x14ac:dyDescent="0.3">
      <c r="AC75" s="262"/>
      <c r="AD75" s="262"/>
    </row>
    <row r="76" spans="29:30" x14ac:dyDescent="0.3">
      <c r="AC76" s="262"/>
      <c r="AD76" s="262"/>
    </row>
    <row r="77" spans="29:30" x14ac:dyDescent="0.3">
      <c r="AC77" s="262"/>
      <c r="AD77" s="262"/>
    </row>
    <row r="78" spans="29:30" x14ac:dyDescent="0.3">
      <c r="AC78" s="262"/>
      <c r="AD78" s="262"/>
    </row>
    <row r="79" spans="29:30" x14ac:dyDescent="0.3">
      <c r="AC79" s="262"/>
      <c r="AD79" s="262"/>
    </row>
    <row r="80" spans="29:30" x14ac:dyDescent="0.3">
      <c r="AC80" s="262"/>
      <c r="AD80" s="262"/>
    </row>
    <row r="81" spans="29:30" x14ac:dyDescent="0.3">
      <c r="AC81" s="262"/>
      <c r="AD81" s="262"/>
    </row>
    <row r="82" spans="29:30" x14ac:dyDescent="0.3">
      <c r="AC82" s="262"/>
      <c r="AD82" s="262"/>
    </row>
    <row r="83" spans="29:30" x14ac:dyDescent="0.3">
      <c r="AC83" s="262"/>
      <c r="AD83" s="262"/>
    </row>
    <row r="84" spans="29:30" x14ac:dyDescent="0.3">
      <c r="AC84" s="262"/>
      <c r="AD84" s="262"/>
    </row>
    <row r="85" spans="29:30" x14ac:dyDescent="0.3">
      <c r="AC85" s="262"/>
      <c r="AD85" s="262"/>
    </row>
    <row r="86" spans="29:30" x14ac:dyDescent="0.3">
      <c r="AC86" s="262"/>
      <c r="AD86" s="262"/>
    </row>
    <row r="87" spans="29:30" x14ac:dyDescent="0.3">
      <c r="AC87" s="262"/>
      <c r="AD87" s="262"/>
    </row>
    <row r="88" spans="29:30" x14ac:dyDescent="0.3">
      <c r="AC88" s="262"/>
      <c r="AD88" s="262"/>
    </row>
    <row r="89" spans="29:30" x14ac:dyDescent="0.3">
      <c r="AC89" s="262"/>
      <c r="AD89" s="262"/>
    </row>
    <row r="90" spans="29:30" x14ac:dyDescent="0.3">
      <c r="AC90" s="262"/>
      <c r="AD90" s="262"/>
    </row>
    <row r="91" spans="29:30" x14ac:dyDescent="0.3">
      <c r="AC91" s="262"/>
      <c r="AD91" s="262"/>
    </row>
    <row r="92" spans="29:30" x14ac:dyDescent="0.3">
      <c r="AC92" s="262"/>
      <c r="AD92" s="262"/>
    </row>
    <row r="93" spans="29:30" x14ac:dyDescent="0.3">
      <c r="AC93" s="262"/>
      <c r="AD93" s="262"/>
    </row>
    <row r="94" spans="29:30" x14ac:dyDescent="0.3">
      <c r="AC94" s="262"/>
      <c r="AD94" s="262"/>
    </row>
    <row r="95" spans="29:30" x14ac:dyDescent="0.3">
      <c r="AC95" s="262"/>
      <c r="AD95" s="262"/>
    </row>
    <row r="96" spans="29:30" x14ac:dyDescent="0.3">
      <c r="AC96" s="262"/>
      <c r="AD96" s="262"/>
    </row>
    <row r="97" spans="29:30" x14ac:dyDescent="0.3">
      <c r="AC97" s="262"/>
      <c r="AD97" s="262"/>
    </row>
    <row r="98" spans="29:30" x14ac:dyDescent="0.3">
      <c r="AC98" s="262"/>
      <c r="AD98" s="262"/>
    </row>
    <row r="99" spans="29:30" x14ac:dyDescent="0.3">
      <c r="AC99" s="262"/>
      <c r="AD99" s="262"/>
    </row>
    <row r="100" spans="29:30" x14ac:dyDescent="0.3">
      <c r="AC100" s="262"/>
      <c r="AD100" s="262"/>
    </row>
    <row r="101" spans="29:30" x14ac:dyDescent="0.3">
      <c r="AC101" s="262"/>
      <c r="AD101" s="262"/>
    </row>
    <row r="102" spans="29:30" x14ac:dyDescent="0.3">
      <c r="AC102" s="262"/>
      <c r="AD102" s="262"/>
    </row>
    <row r="103" spans="29:30" x14ac:dyDescent="0.3">
      <c r="AC103" s="262"/>
      <c r="AD103" s="262"/>
    </row>
    <row r="104" spans="29:30" x14ac:dyDescent="0.3">
      <c r="AC104" s="262"/>
      <c r="AD104" s="262"/>
    </row>
    <row r="105" spans="29:30" x14ac:dyDescent="0.3">
      <c r="AC105" s="262"/>
      <c r="AD105" s="262"/>
    </row>
    <row r="106" spans="29:30" x14ac:dyDescent="0.3">
      <c r="AC106" s="262"/>
      <c r="AD106" s="262"/>
    </row>
    <row r="107" spans="29:30" x14ac:dyDescent="0.3">
      <c r="AC107" s="262"/>
      <c r="AD107" s="262"/>
    </row>
    <row r="108" spans="29:30" x14ac:dyDescent="0.3">
      <c r="AC108" s="262"/>
      <c r="AD108" s="262"/>
    </row>
    <row r="109" spans="29:30" x14ac:dyDescent="0.3">
      <c r="AC109" s="262"/>
      <c r="AD109" s="262"/>
    </row>
    <row r="110" spans="29:30" x14ac:dyDescent="0.3">
      <c r="AC110" s="262"/>
      <c r="AD110" s="262"/>
    </row>
    <row r="111" spans="29:30" x14ac:dyDescent="0.3">
      <c r="AC111" s="262"/>
      <c r="AD111" s="262"/>
    </row>
    <row r="112" spans="29:30" x14ac:dyDescent="0.3">
      <c r="AC112" s="262"/>
      <c r="AD112" s="262"/>
    </row>
    <row r="113" spans="29:30" x14ac:dyDescent="0.3">
      <c r="AC113" s="262"/>
      <c r="AD113" s="262"/>
    </row>
    <row r="114" spans="29:30" x14ac:dyDescent="0.3">
      <c r="AC114" s="262"/>
      <c r="AD114" s="262"/>
    </row>
    <row r="115" spans="29:30" x14ac:dyDescent="0.3">
      <c r="AC115" s="262"/>
      <c r="AD115" s="262"/>
    </row>
    <row r="116" spans="29:30" x14ac:dyDescent="0.3">
      <c r="AC116" s="262"/>
      <c r="AD116" s="262"/>
    </row>
    <row r="117" spans="29:30" x14ac:dyDescent="0.3">
      <c r="AC117" s="262"/>
      <c r="AD117" s="262"/>
    </row>
    <row r="118" spans="29:30" x14ac:dyDescent="0.3">
      <c r="AC118" s="262"/>
      <c r="AD118" s="262"/>
    </row>
    <row r="119" spans="29:30" x14ac:dyDescent="0.3">
      <c r="AC119" s="262"/>
      <c r="AD119" s="262"/>
    </row>
    <row r="120" spans="29:30" x14ac:dyDescent="0.3">
      <c r="AC120" s="262"/>
      <c r="AD120" s="262"/>
    </row>
    <row r="121" spans="29:30" x14ac:dyDescent="0.3">
      <c r="AC121" s="262"/>
      <c r="AD121" s="262"/>
    </row>
    <row r="122" spans="29:30" x14ac:dyDescent="0.3">
      <c r="AC122" s="262"/>
      <c r="AD122" s="262"/>
    </row>
    <row r="123" spans="29:30" x14ac:dyDescent="0.3">
      <c r="AC123" s="262"/>
      <c r="AD123" s="262"/>
    </row>
    <row r="124" spans="29:30" x14ac:dyDescent="0.3">
      <c r="AC124" s="262"/>
      <c r="AD124" s="262"/>
    </row>
    <row r="125" spans="29:30" x14ac:dyDescent="0.3">
      <c r="AC125" s="262"/>
      <c r="AD125" s="262"/>
    </row>
    <row r="126" spans="29:30" x14ac:dyDescent="0.3">
      <c r="AC126" s="262"/>
      <c r="AD126" s="262"/>
    </row>
    <row r="127" spans="29:30" x14ac:dyDescent="0.3">
      <c r="AC127" s="262"/>
      <c r="AD127" s="262"/>
    </row>
    <row r="128" spans="29:30" x14ac:dyDescent="0.3">
      <c r="AC128" s="262"/>
      <c r="AD128" s="262"/>
    </row>
    <row r="129" spans="29:30" x14ac:dyDescent="0.3">
      <c r="AC129" s="262"/>
      <c r="AD129" s="262"/>
    </row>
    <row r="130" spans="29:30" x14ac:dyDescent="0.3">
      <c r="AC130" s="262"/>
      <c r="AD130" s="262"/>
    </row>
    <row r="131" spans="29:30" x14ac:dyDescent="0.3">
      <c r="AC131" s="262"/>
      <c r="AD131" s="262"/>
    </row>
    <row r="132" spans="29:30" x14ac:dyDescent="0.3">
      <c r="AC132" s="262"/>
      <c r="AD132" s="262"/>
    </row>
    <row r="133" spans="29:30" x14ac:dyDescent="0.3">
      <c r="AC133" s="262"/>
      <c r="AD133" s="262"/>
    </row>
    <row r="134" spans="29:30" x14ac:dyDescent="0.3">
      <c r="AC134" s="262"/>
      <c r="AD134" s="262"/>
    </row>
  </sheetData>
  <mergeCells count="8">
    <mergeCell ref="A23:A31"/>
    <mergeCell ref="A32:A36"/>
    <mergeCell ref="C7:N7"/>
    <mergeCell ref="O7:Z7"/>
    <mergeCell ref="AA7:AB7"/>
    <mergeCell ref="B7:B8"/>
    <mergeCell ref="A16:A22"/>
    <mergeCell ref="A11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1121-7557-46A5-ACE3-2FB966A13FFB}">
  <sheetPr>
    <tabColor theme="5"/>
  </sheetPr>
  <dimension ref="A1:G26"/>
  <sheetViews>
    <sheetView workbookViewId="0">
      <selection activeCell="E32" sqref="E32"/>
    </sheetView>
  </sheetViews>
  <sheetFormatPr baseColWidth="10" defaultColWidth="11.44140625" defaultRowHeight="14.4" x14ac:dyDescent="0.3"/>
  <cols>
    <col min="1" max="1" width="43.33203125" style="3" customWidth="1"/>
    <col min="2" max="2" width="21.109375" style="3" customWidth="1"/>
    <col min="3" max="3" width="19.5546875" style="3" customWidth="1"/>
    <col min="4" max="4" width="8" style="3" customWidth="1"/>
    <col min="5" max="5" width="30.109375" style="3" bestFit="1" customWidth="1"/>
    <col min="6" max="6" width="14.33203125" style="3" bestFit="1" customWidth="1"/>
    <col min="7" max="7" width="15.109375" style="3" customWidth="1"/>
    <col min="8" max="8" width="3" style="3" customWidth="1"/>
    <col min="9" max="9" width="17.33203125" style="3" customWidth="1"/>
    <col min="10" max="10" width="11.44140625" style="3"/>
    <col min="11" max="11" width="14" style="3" customWidth="1"/>
    <col min="12" max="12" width="11.44140625" style="3"/>
    <col min="13" max="13" width="21.33203125" style="3" customWidth="1"/>
    <col min="14" max="14" width="28.5546875" style="3" customWidth="1"/>
    <col min="15" max="16384" width="11.44140625" style="3"/>
  </cols>
  <sheetData>
    <row r="1" spans="1:7" ht="29.4" thickBot="1" x14ac:dyDescent="0.35">
      <c r="A1" s="21" t="s">
        <v>10</v>
      </c>
      <c r="B1" s="9" t="s">
        <v>23</v>
      </c>
      <c r="C1" s="9" t="s">
        <v>24</v>
      </c>
    </row>
    <row r="2" spans="1:7" ht="15" thickBot="1" x14ac:dyDescent="0.35">
      <c r="A2" s="5" t="s">
        <v>161</v>
      </c>
      <c r="B2" s="12">
        <v>200000</v>
      </c>
      <c r="C2" s="6" t="e">
        <f>B2/(#REF!+$F$13)</f>
        <v>#REF!</v>
      </c>
      <c r="E2" s="331" t="s">
        <v>153</v>
      </c>
      <c r="F2" s="332"/>
    </row>
    <row r="3" spans="1:7" x14ac:dyDescent="0.3">
      <c r="A3" s="5" t="s">
        <v>159</v>
      </c>
      <c r="B3" s="12">
        <v>25000</v>
      </c>
      <c r="C3" s="6" t="e">
        <f>B3/#REF!</f>
        <v>#REF!</v>
      </c>
      <c r="E3" s="66" t="s">
        <v>168</v>
      </c>
      <c r="F3" s="67">
        <f>B8+B8*LCOH!K2</f>
        <v>252000</v>
      </c>
    </row>
    <row r="4" spans="1:7" x14ac:dyDescent="0.3">
      <c r="A4" s="5" t="s">
        <v>160</v>
      </c>
      <c r="B4" s="12">
        <v>15000</v>
      </c>
      <c r="C4" s="6" t="e">
        <f>B4/#REF!</f>
        <v>#REF!</v>
      </c>
      <c r="E4" s="63" t="s">
        <v>80</v>
      </c>
      <c r="F4" s="70">
        <f>(B26*LCOH!B2)</f>
        <v>0</v>
      </c>
    </row>
    <row r="5" spans="1:7" ht="15" thickBot="1" x14ac:dyDescent="0.35">
      <c r="A5" s="5"/>
      <c r="B5" s="12">
        <v>0</v>
      </c>
      <c r="C5" s="6" t="e">
        <f>B5/#REF!</f>
        <v>#REF!</v>
      </c>
      <c r="E5" s="65" t="s">
        <v>152</v>
      </c>
      <c r="F5" s="68">
        <f>C17</f>
        <v>1200</v>
      </c>
    </row>
    <row r="6" spans="1:7" x14ac:dyDescent="0.3">
      <c r="A6" s="5"/>
      <c r="B6" s="12">
        <v>0</v>
      </c>
      <c r="C6" s="6" t="e">
        <f>B6/#REF!</f>
        <v>#REF!</v>
      </c>
    </row>
    <row r="7" spans="1:7" x14ac:dyDescent="0.3">
      <c r="A7" s="5"/>
      <c r="B7" s="12">
        <v>0</v>
      </c>
      <c r="C7" s="6" t="e">
        <f>B7/#REF!</f>
        <v>#REF!</v>
      </c>
    </row>
    <row r="8" spans="1:7" x14ac:dyDescent="0.3">
      <c r="A8" s="7" t="s">
        <v>26</v>
      </c>
      <c r="B8" s="10">
        <f>SUM(B2:B7)</f>
        <v>240000</v>
      </c>
      <c r="C8" s="5"/>
    </row>
    <row r="10" spans="1:7" ht="28.8" x14ac:dyDescent="0.3">
      <c r="A10" s="21" t="s">
        <v>29</v>
      </c>
      <c r="B10" s="9" t="s">
        <v>30</v>
      </c>
      <c r="C10" s="9" t="s">
        <v>38</v>
      </c>
      <c r="E10" s="333" t="s">
        <v>163</v>
      </c>
      <c r="F10" s="334"/>
      <c r="G10" s="335"/>
    </row>
    <row r="11" spans="1:7" x14ac:dyDescent="0.3">
      <c r="A11" s="5" t="s">
        <v>162</v>
      </c>
      <c r="B11" s="51">
        <v>5.0000000000000001E-3</v>
      </c>
      <c r="C11" s="6">
        <f>B11*B8</f>
        <v>1200</v>
      </c>
      <c r="E11" s="13" t="s">
        <v>46</v>
      </c>
      <c r="F11" s="22">
        <v>0</v>
      </c>
      <c r="G11" s="14" t="s">
        <v>180</v>
      </c>
    </row>
    <row r="12" spans="1:7" x14ac:dyDescent="0.3">
      <c r="A12" s="5" t="s">
        <v>159</v>
      </c>
      <c r="B12" s="51">
        <v>0</v>
      </c>
      <c r="C12" s="6">
        <f t="shared" ref="C12:C16" si="0">B12*B3</f>
        <v>0</v>
      </c>
      <c r="E12" s="13"/>
      <c r="F12" s="60"/>
      <c r="G12" s="14"/>
    </row>
    <row r="13" spans="1:7" x14ac:dyDescent="0.3">
      <c r="A13" s="5" t="s">
        <v>160</v>
      </c>
      <c r="B13" s="51">
        <v>0</v>
      </c>
      <c r="C13" s="6">
        <f t="shared" si="0"/>
        <v>0</v>
      </c>
      <c r="E13" s="13"/>
      <c r="F13" s="30"/>
      <c r="G13" s="14"/>
    </row>
    <row r="14" spans="1:7" x14ac:dyDescent="0.3">
      <c r="A14" s="5"/>
      <c r="B14" s="51">
        <v>0</v>
      </c>
      <c r="C14" s="6">
        <f t="shared" si="0"/>
        <v>0</v>
      </c>
      <c r="E14" s="13"/>
      <c r="F14" s="22"/>
      <c r="G14" s="14"/>
    </row>
    <row r="15" spans="1:7" x14ac:dyDescent="0.3">
      <c r="A15" s="5"/>
      <c r="B15" s="51">
        <v>0</v>
      </c>
      <c r="C15" s="6">
        <f t="shared" si="0"/>
        <v>0</v>
      </c>
      <c r="E15" s="17"/>
      <c r="F15" s="29"/>
      <c r="G15" s="19"/>
    </row>
    <row r="16" spans="1:7" x14ac:dyDescent="0.3">
      <c r="A16" s="5"/>
      <c r="B16" s="51"/>
      <c r="C16" s="6">
        <f t="shared" si="0"/>
        <v>0</v>
      </c>
    </row>
    <row r="17" spans="1:3" x14ac:dyDescent="0.3">
      <c r="A17" s="7" t="s">
        <v>31</v>
      </c>
      <c r="B17" s="77">
        <f>C17/B8</f>
        <v>5.0000000000000001E-3</v>
      </c>
      <c r="C17" s="11">
        <f>SUM(C11:C16)</f>
        <v>1200</v>
      </c>
    </row>
    <row r="19" spans="1:3" x14ac:dyDescent="0.3">
      <c r="A19" s="21" t="s">
        <v>105</v>
      </c>
      <c r="B19" s="9"/>
      <c r="C19" s="9"/>
    </row>
    <row r="20" spans="1:3" x14ac:dyDescent="0.3">
      <c r="A20" s="5" t="s">
        <v>163</v>
      </c>
      <c r="B20" s="27">
        <f>F11*LCOH!E5/1000</f>
        <v>0</v>
      </c>
      <c r="C20" s="6"/>
    </row>
    <row r="21" spans="1:3" x14ac:dyDescent="0.3">
      <c r="A21" s="5"/>
      <c r="B21" s="27">
        <v>0</v>
      </c>
      <c r="C21" s="6"/>
    </row>
    <row r="22" spans="1:3" x14ac:dyDescent="0.3">
      <c r="A22" s="5"/>
      <c r="B22" s="27">
        <v>0</v>
      </c>
      <c r="C22" s="6"/>
    </row>
    <row r="23" spans="1:3" x14ac:dyDescent="0.3">
      <c r="A23" s="5"/>
      <c r="B23" s="27">
        <v>0</v>
      </c>
      <c r="C23" s="6"/>
    </row>
    <row r="24" spans="1:3" x14ac:dyDescent="0.3">
      <c r="A24" s="5"/>
      <c r="B24" s="27">
        <v>0</v>
      </c>
      <c r="C24" s="6"/>
    </row>
    <row r="25" spans="1:3" x14ac:dyDescent="0.3">
      <c r="A25" s="5"/>
      <c r="B25" s="27"/>
      <c r="C25" s="6"/>
    </row>
    <row r="26" spans="1:3" x14ac:dyDescent="0.3">
      <c r="A26" s="7" t="s">
        <v>42</v>
      </c>
      <c r="B26" s="81">
        <f>SUM(B20:B25)</f>
        <v>0</v>
      </c>
      <c r="C26" s="11" t="s">
        <v>34</v>
      </c>
    </row>
  </sheetData>
  <mergeCells count="2">
    <mergeCell ref="E2:F2"/>
    <mergeCell ref="E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6169-1A48-4D05-BA28-64DA1D75B474}">
  <sheetPr>
    <tabColor theme="3"/>
  </sheetPr>
  <dimension ref="A1:O60"/>
  <sheetViews>
    <sheetView topLeftCell="A16" workbookViewId="0">
      <selection activeCell="D23" sqref="D23"/>
    </sheetView>
  </sheetViews>
  <sheetFormatPr baseColWidth="10" defaultColWidth="11.44140625" defaultRowHeight="14.4" x14ac:dyDescent="0.3"/>
  <cols>
    <col min="1" max="1" width="43.33203125" style="3" customWidth="1"/>
    <col min="2" max="2" width="21.109375" style="3" customWidth="1"/>
    <col min="3" max="3" width="24.44140625" style="3" customWidth="1"/>
    <col min="4" max="4" width="8" style="3" customWidth="1"/>
    <col min="5" max="5" width="30.109375" style="3" bestFit="1" customWidth="1"/>
    <col min="6" max="6" width="14.33203125" style="3" bestFit="1" customWidth="1"/>
    <col min="7" max="7" width="15.109375" style="3" customWidth="1"/>
    <col min="8" max="8" width="3" style="3" customWidth="1"/>
    <col min="9" max="9" width="17.33203125" style="3" customWidth="1"/>
    <col min="10" max="10" width="14.33203125" style="3" bestFit="1" customWidth="1"/>
    <col min="11" max="11" width="14" style="3" customWidth="1"/>
    <col min="12" max="12" width="11.44140625" style="3"/>
    <col min="13" max="13" width="21.33203125" style="3" customWidth="1"/>
    <col min="14" max="14" width="28.5546875" style="3" customWidth="1"/>
    <col min="15" max="16384" width="11.44140625" style="3"/>
  </cols>
  <sheetData>
    <row r="1" spans="1:14" ht="29.4" thickBot="1" x14ac:dyDescent="0.35">
      <c r="A1" s="21" t="s">
        <v>10</v>
      </c>
      <c r="B1" s="9" t="s">
        <v>23</v>
      </c>
      <c r="C1" s="9" t="s">
        <v>24</v>
      </c>
    </row>
    <row r="2" spans="1:14" ht="15" thickBot="1" x14ac:dyDescent="0.35">
      <c r="A2" s="5" t="s">
        <v>12</v>
      </c>
      <c r="B2" s="12">
        <v>250000</v>
      </c>
      <c r="C2" s="6">
        <f>B2/($F$18+$F$35)</f>
        <v>50000</v>
      </c>
      <c r="M2" s="331" t="s">
        <v>153</v>
      </c>
      <c r="N2" s="332"/>
    </row>
    <row r="3" spans="1:14" x14ac:dyDescent="0.3">
      <c r="A3" s="5" t="s">
        <v>11</v>
      </c>
      <c r="B3" s="12">
        <v>5000000</v>
      </c>
      <c r="C3" s="6">
        <f>B3/$F$18</f>
        <v>1000000</v>
      </c>
      <c r="M3" s="66" t="s">
        <v>151</v>
      </c>
      <c r="N3" s="67">
        <f>B8</f>
        <v>7320000</v>
      </c>
    </row>
    <row r="4" spans="1:14" x14ac:dyDescent="0.3">
      <c r="A4" s="5" t="s">
        <v>13</v>
      </c>
      <c r="B4" s="12">
        <v>0</v>
      </c>
      <c r="C4" s="6">
        <f>B4/$F$18</f>
        <v>0</v>
      </c>
      <c r="M4" s="63" t="s">
        <v>80</v>
      </c>
      <c r="N4" s="70">
        <f>(B26*LCOH!B2)+('PROD H2'!B35*LCOH!B3)</f>
        <v>1317744.0750919564</v>
      </c>
    </row>
    <row r="5" spans="1:14" ht="15" thickBot="1" x14ac:dyDescent="0.35">
      <c r="A5" s="5" t="s">
        <v>14</v>
      </c>
      <c r="B5" s="12">
        <v>50000</v>
      </c>
      <c r="C5" s="6">
        <f>B5/$F$18</f>
        <v>10000</v>
      </c>
      <c r="M5" s="65" t="s">
        <v>152</v>
      </c>
      <c r="N5" s="68">
        <f>C17</f>
        <v>51600</v>
      </c>
    </row>
    <row r="6" spans="1:14" x14ac:dyDescent="0.3">
      <c r="A6" s="5" t="s">
        <v>25</v>
      </c>
      <c r="B6" s="12">
        <v>20000</v>
      </c>
      <c r="C6" s="6">
        <f>B6/$F$18</f>
        <v>4000</v>
      </c>
    </row>
    <row r="7" spans="1:14" x14ac:dyDescent="0.3">
      <c r="A7" s="5" t="s">
        <v>56</v>
      </c>
      <c r="B7" s="12">
        <f>F29*F30</f>
        <v>2000000</v>
      </c>
      <c r="C7" s="6">
        <f>B7/$F$18</f>
        <v>400000</v>
      </c>
    </row>
    <row r="8" spans="1:14" x14ac:dyDescent="0.3">
      <c r="A8" s="7" t="s">
        <v>26</v>
      </c>
      <c r="B8" s="10">
        <f>SUM(B2:B7)</f>
        <v>7320000</v>
      </c>
      <c r="C8" s="5"/>
    </row>
    <row r="10" spans="1:14" ht="28.8" x14ac:dyDescent="0.3">
      <c r="A10" s="21" t="s">
        <v>29</v>
      </c>
      <c r="B10" s="9" t="s">
        <v>30</v>
      </c>
      <c r="C10" s="9" t="s">
        <v>38</v>
      </c>
    </row>
    <row r="11" spans="1:14" x14ac:dyDescent="0.3">
      <c r="A11" s="5" t="s">
        <v>12</v>
      </c>
      <c r="B11" s="51">
        <v>5.0000000000000001E-3</v>
      </c>
      <c r="C11" s="6">
        <f>B11*B2</f>
        <v>1250</v>
      </c>
    </row>
    <row r="12" spans="1:14" x14ac:dyDescent="0.3">
      <c r="A12" s="5" t="s">
        <v>11</v>
      </c>
      <c r="B12" s="51">
        <v>0.01</v>
      </c>
      <c r="C12" s="6">
        <f t="shared" ref="C12:C16" si="0">B12*B3</f>
        <v>50000</v>
      </c>
    </row>
    <row r="13" spans="1:14" x14ac:dyDescent="0.3">
      <c r="A13" s="5" t="s">
        <v>13</v>
      </c>
      <c r="B13" s="51">
        <v>0.02</v>
      </c>
      <c r="C13" s="6">
        <f t="shared" si="0"/>
        <v>0</v>
      </c>
    </row>
    <row r="14" spans="1:14" x14ac:dyDescent="0.3">
      <c r="A14" s="5" t="s">
        <v>14</v>
      </c>
      <c r="B14" s="51">
        <v>5.0000000000000001E-3</v>
      </c>
      <c r="C14" s="6">
        <f t="shared" si="0"/>
        <v>250</v>
      </c>
    </row>
    <row r="15" spans="1:14" x14ac:dyDescent="0.3">
      <c r="A15" s="5" t="s">
        <v>25</v>
      </c>
      <c r="B15" s="51">
        <v>5.0000000000000001E-3</v>
      </c>
      <c r="C15" s="6">
        <f t="shared" si="0"/>
        <v>100</v>
      </c>
    </row>
    <row r="16" spans="1:14" x14ac:dyDescent="0.3">
      <c r="A16" s="5"/>
      <c r="B16" s="51"/>
      <c r="C16" s="6">
        <f t="shared" si="0"/>
        <v>0</v>
      </c>
    </row>
    <row r="17" spans="1:15" x14ac:dyDescent="0.3">
      <c r="A17" s="7" t="s">
        <v>31</v>
      </c>
      <c r="B17" s="20">
        <f>C17/B8</f>
        <v>7.0491803278688522E-3</v>
      </c>
      <c r="C17" s="11">
        <f>SUM(C11:C16)</f>
        <v>51600</v>
      </c>
      <c r="E17" s="333" t="s">
        <v>35</v>
      </c>
      <c r="F17" s="334"/>
      <c r="G17" s="335"/>
      <c r="I17" s="333" t="s">
        <v>220</v>
      </c>
      <c r="J17" s="334"/>
      <c r="K17" s="335"/>
      <c r="M17" s="333" t="s">
        <v>277</v>
      </c>
      <c r="N17" s="334"/>
      <c r="O17" s="335"/>
    </row>
    <row r="18" spans="1:15" x14ac:dyDescent="0.3">
      <c r="E18" s="13" t="s">
        <v>21</v>
      </c>
      <c r="F18" s="3">
        <f>LCOH!H2</f>
        <v>5</v>
      </c>
      <c r="G18" s="14" t="s">
        <v>5</v>
      </c>
      <c r="I18" s="13" t="s">
        <v>46</v>
      </c>
      <c r="J18" s="32">
        <v>0</v>
      </c>
      <c r="K18" s="14" t="s">
        <v>181</v>
      </c>
      <c r="M18" s="302" t="s">
        <v>49</v>
      </c>
      <c r="N18" s="307" t="s">
        <v>46</v>
      </c>
      <c r="O18" s="14"/>
    </row>
    <row r="19" spans="1:15" x14ac:dyDescent="0.3">
      <c r="A19" s="21" t="s">
        <v>105</v>
      </c>
      <c r="B19" s="9"/>
      <c r="C19" s="9" t="s">
        <v>215</v>
      </c>
      <c r="E19" s="13" t="s">
        <v>16</v>
      </c>
      <c r="F19" s="38">
        <f>F18*1000/F21</f>
        <v>1041.6666666666667</v>
      </c>
      <c r="G19" s="14" t="s">
        <v>19</v>
      </c>
      <c r="I19" s="13"/>
      <c r="K19" s="14"/>
      <c r="M19" s="302">
        <v>0.5</v>
      </c>
      <c r="N19" s="305"/>
      <c r="O19" s="14"/>
    </row>
    <row r="20" spans="1:15" x14ac:dyDescent="0.3">
      <c r="A20" s="5" t="s">
        <v>12</v>
      </c>
      <c r="B20" s="26">
        <f>(1-J27)*(B21+B22)</f>
        <v>421.40000000000038</v>
      </c>
      <c r="C20" s="8"/>
      <c r="E20" s="13"/>
      <c r="F20" s="15">
        <f>F19*'MASS BALANCE'!F5</f>
        <v>86.928704553673256</v>
      </c>
      <c r="G20" s="14" t="s">
        <v>20</v>
      </c>
      <c r="I20" s="13"/>
      <c r="J20" s="15"/>
      <c r="K20" s="14"/>
      <c r="M20" s="302">
        <v>1</v>
      </c>
      <c r="N20" s="305"/>
      <c r="O20" s="14"/>
    </row>
    <row r="21" spans="1:15" x14ac:dyDescent="0.3">
      <c r="A21" s="5" t="s">
        <v>11</v>
      </c>
      <c r="B21" s="26">
        <f>F19*F21*LCOH!E5/1000</f>
        <v>42140</v>
      </c>
      <c r="C21" s="8"/>
      <c r="E21" s="13" t="s">
        <v>17</v>
      </c>
      <c r="F21" s="22">
        <v>4.8</v>
      </c>
      <c r="G21" s="14" t="s">
        <v>97</v>
      </c>
      <c r="I21" s="13"/>
      <c r="K21" s="14"/>
      <c r="M21" s="302">
        <v>1.5</v>
      </c>
      <c r="N21" s="305"/>
      <c r="O21" s="14"/>
    </row>
    <row r="22" spans="1:15" x14ac:dyDescent="0.3">
      <c r="A22" s="5" t="s">
        <v>13</v>
      </c>
      <c r="B22" s="26">
        <f>C22*F19*F33*LCOH!E5/1000</f>
        <v>0</v>
      </c>
      <c r="C22" s="8">
        <v>0</v>
      </c>
      <c r="E22" s="13"/>
      <c r="F22" s="15">
        <f>F21/'MASS BALANCE'!F5</f>
        <v>57.518400000000007</v>
      </c>
      <c r="G22" s="14" t="s">
        <v>98</v>
      </c>
      <c r="I22" s="13"/>
      <c r="K22" s="14"/>
      <c r="M22" s="302">
        <v>2</v>
      </c>
      <c r="N22" s="305"/>
      <c r="O22" s="14"/>
    </row>
    <row r="23" spans="1:15" x14ac:dyDescent="0.3">
      <c r="A23" s="5" t="s">
        <v>14</v>
      </c>
      <c r="B23" s="27">
        <f>J18*LCOH!E5/1000</f>
        <v>0</v>
      </c>
      <c r="C23" s="8"/>
      <c r="E23" s="13" t="s">
        <v>22</v>
      </c>
      <c r="F23" s="59">
        <f>'MASS BALANCE'!F8/F21</f>
        <v>0.73958333333333337</v>
      </c>
      <c r="G23" s="14"/>
      <c r="I23" s="13"/>
      <c r="J23" s="16"/>
      <c r="K23" s="14"/>
      <c r="M23" s="302">
        <v>2.5</v>
      </c>
      <c r="N23" s="306"/>
      <c r="O23" s="14"/>
    </row>
    <row r="24" spans="1:15" x14ac:dyDescent="0.3">
      <c r="A24" s="5" t="s">
        <v>25</v>
      </c>
      <c r="B24" s="27">
        <v>0</v>
      </c>
      <c r="C24" s="8"/>
      <c r="E24" s="13" t="s">
        <v>39</v>
      </c>
      <c r="F24" s="22">
        <v>1</v>
      </c>
      <c r="G24" s="14" t="s">
        <v>106</v>
      </c>
      <c r="I24" s="17"/>
      <c r="J24" s="18"/>
      <c r="K24" s="19"/>
      <c r="M24" s="302">
        <v>3</v>
      </c>
      <c r="N24" s="306"/>
      <c r="O24" s="14"/>
    </row>
    <row r="25" spans="1:15" x14ac:dyDescent="0.3">
      <c r="A25" s="5"/>
      <c r="B25" s="27"/>
      <c r="C25" s="8"/>
      <c r="E25" s="13"/>
      <c r="F25" s="3">
        <f>F24/'MASS BALANCE'!F5</f>
        <v>11.983000000000001</v>
      </c>
      <c r="G25" s="14" t="s">
        <v>107</v>
      </c>
      <c r="M25" s="302">
        <v>3.5</v>
      </c>
      <c r="N25" s="306"/>
      <c r="O25" s="14"/>
    </row>
    <row r="26" spans="1:15" x14ac:dyDescent="0.3">
      <c r="A26" s="7" t="s">
        <v>42</v>
      </c>
      <c r="B26" s="50">
        <f>SUM(B20:B25)</f>
        <v>42561.4</v>
      </c>
      <c r="C26" s="11" t="s">
        <v>34</v>
      </c>
      <c r="E26" s="13" t="s">
        <v>40</v>
      </c>
      <c r="F26" s="25">
        <v>0.75</v>
      </c>
      <c r="G26" s="14"/>
      <c r="I26" s="333" t="s">
        <v>37</v>
      </c>
      <c r="J26" s="334"/>
      <c r="K26" s="335"/>
      <c r="M26" s="302">
        <v>4</v>
      </c>
      <c r="N26" s="306"/>
      <c r="O26" s="14"/>
    </row>
    <row r="27" spans="1:15" x14ac:dyDescent="0.3">
      <c r="E27" s="13" t="s">
        <v>50</v>
      </c>
      <c r="F27" s="32">
        <v>3.86</v>
      </c>
      <c r="G27" s="14" t="s">
        <v>51</v>
      </c>
      <c r="I27" s="13" t="s">
        <v>18</v>
      </c>
      <c r="J27" s="25">
        <v>0.99</v>
      </c>
      <c r="K27" s="14"/>
      <c r="M27" s="302">
        <v>4.5</v>
      </c>
      <c r="N27" s="306"/>
      <c r="O27" s="14"/>
    </row>
    <row r="28" spans="1:15" x14ac:dyDescent="0.3">
      <c r="A28" s="21" t="s">
        <v>43</v>
      </c>
      <c r="B28" s="9"/>
      <c r="C28" s="9"/>
      <c r="E28" s="13" t="s">
        <v>52</v>
      </c>
      <c r="F28" s="30">
        <v>80000</v>
      </c>
      <c r="G28" s="14" t="s">
        <v>53</v>
      </c>
      <c r="I28" s="13"/>
      <c r="J28" s="22"/>
      <c r="K28" s="14"/>
      <c r="M28" s="302">
        <v>5</v>
      </c>
      <c r="N28" s="306">
        <v>4.8</v>
      </c>
      <c r="O28" s="14"/>
    </row>
    <row r="29" spans="1:15" x14ac:dyDescent="0.3">
      <c r="A29" s="5" t="s">
        <v>12</v>
      </c>
      <c r="B29" s="26">
        <v>0</v>
      </c>
      <c r="C29" s="6"/>
      <c r="E29" s="13" t="s">
        <v>54</v>
      </c>
      <c r="F29" s="34">
        <f>ROUNDDOWN((LCOH!E3/'PROD H2'!F28)-1,0)</f>
        <v>1</v>
      </c>
      <c r="G29" s="14"/>
      <c r="I29" s="13"/>
      <c r="J29" s="23"/>
      <c r="K29" s="14"/>
      <c r="M29" s="303"/>
      <c r="N29" s="304"/>
      <c r="O29" s="19"/>
    </row>
    <row r="30" spans="1:15" x14ac:dyDescent="0.3">
      <c r="A30" s="5" t="s">
        <v>11</v>
      </c>
      <c r="B30" s="26">
        <f>(B39*F25/F26/1000)-(LCOH!E6*METHANATION!B44)</f>
        <v>8180.4150183912825</v>
      </c>
      <c r="C30" s="6"/>
      <c r="E30" s="17" t="s">
        <v>55</v>
      </c>
      <c r="F30" s="33">
        <f>4*500000</f>
        <v>2000000</v>
      </c>
      <c r="G30" s="19"/>
      <c r="I30" s="17"/>
      <c r="J30" s="29"/>
      <c r="K30" s="19"/>
    </row>
    <row r="31" spans="1:15" x14ac:dyDescent="0.3">
      <c r="A31" s="5" t="s">
        <v>13</v>
      </c>
      <c r="B31" s="26">
        <v>0</v>
      </c>
      <c r="C31" s="6"/>
    </row>
    <row r="32" spans="1:15" x14ac:dyDescent="0.3">
      <c r="A32" s="5" t="s">
        <v>14</v>
      </c>
      <c r="B32" s="26">
        <v>0</v>
      </c>
      <c r="C32" s="6"/>
      <c r="E32" s="333" t="s">
        <v>36</v>
      </c>
      <c r="F32" s="334"/>
      <c r="G32" s="335"/>
    </row>
    <row r="33" spans="1:14" x14ac:dyDescent="0.3">
      <c r="A33" s="5" t="s">
        <v>25</v>
      </c>
      <c r="B33" s="26">
        <v>0</v>
      </c>
      <c r="C33" s="6"/>
      <c r="E33" s="13" t="s">
        <v>45</v>
      </c>
      <c r="F33" s="22">
        <v>0.1</v>
      </c>
      <c r="G33" s="14" t="s">
        <v>97</v>
      </c>
    </row>
    <row r="34" spans="1:14" x14ac:dyDescent="0.3">
      <c r="A34" s="5"/>
      <c r="B34" s="26"/>
      <c r="C34" s="6"/>
      <c r="E34" s="13"/>
      <c r="F34" s="60">
        <f>F33/11</f>
        <v>9.0909090909090922E-3</v>
      </c>
      <c r="G34" s="14" t="s">
        <v>98</v>
      </c>
      <c r="N34" s="115"/>
    </row>
    <row r="35" spans="1:14" x14ac:dyDescent="0.3">
      <c r="A35" s="7" t="s">
        <v>41</v>
      </c>
      <c r="B35" s="50">
        <f>SUM(B29:B34)</f>
        <v>8180.4150183912825</v>
      </c>
      <c r="C35" s="11" t="s">
        <v>44</v>
      </c>
      <c r="E35" s="13" t="s">
        <v>49</v>
      </c>
      <c r="F35" s="30">
        <v>0</v>
      </c>
      <c r="G35" s="14" t="s">
        <v>5</v>
      </c>
    </row>
    <row r="36" spans="1:14" x14ac:dyDescent="0.3">
      <c r="E36" s="13"/>
      <c r="F36" s="22"/>
      <c r="G36" s="14"/>
    </row>
    <row r="37" spans="1:14" x14ac:dyDescent="0.3">
      <c r="A37" s="35" t="s">
        <v>57</v>
      </c>
      <c r="B37" s="36"/>
      <c r="C37" s="37"/>
      <c r="E37" s="17"/>
      <c r="F37" s="29"/>
      <c r="G37" s="19"/>
    </row>
    <row r="38" spans="1:14" x14ac:dyDescent="0.3">
      <c r="A38" s="40" t="s">
        <v>58</v>
      </c>
      <c r="B38" s="41">
        <f>F19*8600*LCOH!E4</f>
        <v>8779166.6666666679</v>
      </c>
      <c r="C38" s="42" t="s">
        <v>121</v>
      </c>
    </row>
    <row r="39" spans="1:14" x14ac:dyDescent="0.3">
      <c r="A39" s="13"/>
      <c r="B39" s="38">
        <f>F20*8600*LCOH!E4</f>
        <v>732635.12197835813</v>
      </c>
      <c r="C39" s="14" t="s">
        <v>122</v>
      </c>
    </row>
    <row r="40" spans="1:14" x14ac:dyDescent="0.3">
      <c r="A40" s="13"/>
      <c r="B40" s="15">
        <f>B39/1000</f>
        <v>732.63512197835814</v>
      </c>
      <c r="C40" s="14" t="s">
        <v>123</v>
      </c>
      <c r="J40" s="4"/>
    </row>
    <row r="41" spans="1:14" x14ac:dyDescent="0.3">
      <c r="A41" s="17"/>
      <c r="B41" s="39">
        <f>B39*'MASS BALANCE'!D20/1000/1000</f>
        <v>24.418728615538676</v>
      </c>
      <c r="C41" s="19" t="s">
        <v>124</v>
      </c>
    </row>
    <row r="42" spans="1:14" x14ac:dyDescent="0.3">
      <c r="A42" s="40" t="s">
        <v>169</v>
      </c>
      <c r="B42" s="38">
        <f>B38*LCOH!E$2</f>
        <v>175583333.33333337</v>
      </c>
      <c r="C42" s="14" t="s">
        <v>126</v>
      </c>
    </row>
    <row r="43" spans="1:14" x14ac:dyDescent="0.3">
      <c r="A43" s="13"/>
      <c r="B43" s="38">
        <f>B39*LCOH!E$2</f>
        <v>14652702.439567164</v>
      </c>
      <c r="C43" s="14" t="s">
        <v>125</v>
      </c>
    </row>
    <row r="44" spans="1:14" x14ac:dyDescent="0.3">
      <c r="A44" s="13"/>
      <c r="B44" s="38">
        <f>B40*LCOH!E$2</f>
        <v>14652.702439567163</v>
      </c>
      <c r="C44" s="14" t="s">
        <v>127</v>
      </c>
    </row>
    <row r="45" spans="1:14" x14ac:dyDescent="0.3">
      <c r="A45" s="17"/>
      <c r="B45" s="39">
        <f>B41*LCOH!E$2</f>
        <v>488.37457231077349</v>
      </c>
      <c r="C45" s="19" t="s">
        <v>128</v>
      </c>
    </row>
    <row r="47" spans="1:14" x14ac:dyDescent="0.3">
      <c r="A47" s="35" t="s">
        <v>64</v>
      </c>
      <c r="B47" s="36"/>
      <c r="C47" s="37"/>
    </row>
    <row r="48" spans="1:14" x14ac:dyDescent="0.3">
      <c r="A48" s="40" t="s">
        <v>10</v>
      </c>
      <c r="B48" s="43">
        <f>B8</f>
        <v>7320000</v>
      </c>
      <c r="C48" s="42"/>
    </row>
    <row r="49" spans="1:3" x14ac:dyDescent="0.3">
      <c r="A49" s="13" t="s">
        <v>65</v>
      </c>
      <c r="B49" s="44">
        <f>B26*LCOH!E2*LCOH!B2</f>
        <v>25536840</v>
      </c>
      <c r="C49" s="14"/>
    </row>
    <row r="50" spans="1:3" x14ac:dyDescent="0.3">
      <c r="A50" s="13" t="s">
        <v>67</v>
      </c>
      <c r="B50" s="44">
        <f>B35*LCOH!E2*LCOH!B3</f>
        <v>818041.50183912832</v>
      </c>
      <c r="C50" s="14"/>
    </row>
    <row r="51" spans="1:3" x14ac:dyDescent="0.3">
      <c r="A51" s="13" t="s">
        <v>68</v>
      </c>
      <c r="B51" s="44">
        <f>C17*LCOH!E2</f>
        <v>1032000</v>
      </c>
      <c r="C51" s="14"/>
    </row>
    <row r="52" spans="1:3" x14ac:dyDescent="0.3">
      <c r="A52" s="48" t="s">
        <v>73</v>
      </c>
      <c r="B52" s="49">
        <f>SUM(B48:B51)</f>
        <v>34706881.501839131</v>
      </c>
      <c r="C52" s="19"/>
    </row>
    <row r="53" spans="1:3" x14ac:dyDescent="0.3">
      <c r="A53" s="40" t="s">
        <v>69</v>
      </c>
      <c r="B53" s="46">
        <f>B52/B42</f>
        <v>0.19766614998674395</v>
      </c>
      <c r="C53" s="42" t="s">
        <v>70</v>
      </c>
    </row>
    <row r="54" spans="1:3" ht="18" x14ac:dyDescent="0.3">
      <c r="A54" s="13"/>
      <c r="B54" s="54">
        <f>B52/B43</f>
        <v>2.3686334752911535</v>
      </c>
      <c r="C54" s="55" t="s">
        <v>71</v>
      </c>
    </row>
    <row r="55" spans="1:3" x14ac:dyDescent="0.3">
      <c r="A55" s="13"/>
      <c r="B55" s="47">
        <f>B52/B44</f>
        <v>2368.6334752911534</v>
      </c>
      <c r="C55" s="14" t="s">
        <v>72</v>
      </c>
    </row>
    <row r="56" spans="1:3" x14ac:dyDescent="0.3">
      <c r="A56" s="17"/>
      <c r="B56" s="45">
        <f>B52/B45</f>
        <v>71066.110869821598</v>
      </c>
      <c r="C56" s="19" t="s">
        <v>182</v>
      </c>
    </row>
    <row r="57" spans="1:3" x14ac:dyDescent="0.3">
      <c r="A57" s="40" t="s">
        <v>79</v>
      </c>
      <c r="B57" s="52"/>
      <c r="C57" s="42"/>
    </row>
    <row r="58" spans="1:3" x14ac:dyDescent="0.3">
      <c r="A58" s="13" t="s">
        <v>10</v>
      </c>
      <c r="B58" s="16">
        <f>B48/B52</f>
        <v>0.21090918236523529</v>
      </c>
      <c r="C58" s="14"/>
    </row>
    <row r="59" spans="1:3" x14ac:dyDescent="0.3">
      <c r="A59" s="13" t="s">
        <v>80</v>
      </c>
      <c r="B59" s="16">
        <f>(B49+B50)/B52</f>
        <v>0.75935608044884617</v>
      </c>
      <c r="C59" s="14"/>
    </row>
    <row r="60" spans="1:3" x14ac:dyDescent="0.3">
      <c r="A60" s="17" t="s">
        <v>28</v>
      </c>
      <c r="B60" s="53">
        <f>B51/B52</f>
        <v>2.9734737185918417E-2</v>
      </c>
      <c r="C60" s="19"/>
    </row>
  </sheetData>
  <mergeCells count="6">
    <mergeCell ref="E17:G17"/>
    <mergeCell ref="E32:G32"/>
    <mergeCell ref="I26:K26"/>
    <mergeCell ref="I17:K17"/>
    <mergeCell ref="M2:N2"/>
    <mergeCell ref="M17:O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CA5A-8A25-4B6D-9B24-90F57F705EC7}">
  <sheetPr>
    <tabColor theme="8"/>
  </sheetPr>
  <dimension ref="A1:L54"/>
  <sheetViews>
    <sheetView workbookViewId="0">
      <selection activeCell="L3" sqref="L3"/>
    </sheetView>
  </sheetViews>
  <sheetFormatPr baseColWidth="10" defaultColWidth="11.44140625" defaultRowHeight="14.4" x14ac:dyDescent="0.3"/>
  <cols>
    <col min="1" max="1" width="43.33203125" style="3" customWidth="1"/>
    <col min="2" max="2" width="21.109375" style="3" customWidth="1"/>
    <col min="3" max="3" width="24.88671875" style="3" customWidth="1"/>
    <col min="4" max="4" width="8" style="3" customWidth="1"/>
    <col min="5" max="5" width="30.109375" style="3" bestFit="1" customWidth="1"/>
    <col min="6" max="6" width="14.33203125" style="3" bestFit="1" customWidth="1"/>
    <col min="7" max="7" width="20" style="3" customWidth="1"/>
    <col min="8" max="8" width="3" style="3" customWidth="1"/>
    <col min="9" max="9" width="39.33203125" style="3" customWidth="1"/>
    <col min="10" max="10" width="11.44140625" style="3"/>
    <col min="11" max="11" width="14" style="3" customWidth="1"/>
    <col min="12" max="12" width="16.109375" style="3" customWidth="1"/>
    <col min="13" max="16384" width="11.44140625" style="3"/>
  </cols>
  <sheetData>
    <row r="1" spans="1:12" ht="29.4" thickBot="1" x14ac:dyDescent="0.35">
      <c r="A1" s="21" t="s">
        <v>10</v>
      </c>
      <c r="B1" s="9" t="s">
        <v>23</v>
      </c>
      <c r="C1" s="9" t="s">
        <v>92</v>
      </c>
      <c r="K1" s="331" t="s">
        <v>153</v>
      </c>
      <c r="L1" s="332"/>
    </row>
    <row r="2" spans="1:12" x14ac:dyDescent="0.3">
      <c r="A2" s="5" t="s">
        <v>74</v>
      </c>
      <c r="B2" s="12">
        <v>4000000</v>
      </c>
      <c r="C2" s="6">
        <f>B2/($F$18+$F$38)</f>
        <v>800000</v>
      </c>
      <c r="K2" s="66" t="s">
        <v>151</v>
      </c>
      <c r="L2" s="67">
        <f>B8</f>
        <v>4020000</v>
      </c>
    </row>
    <row r="3" spans="1:12" x14ac:dyDescent="0.3">
      <c r="A3" s="5" t="s">
        <v>77</v>
      </c>
      <c r="B3" s="12">
        <v>0</v>
      </c>
      <c r="C3" s="6">
        <f>B3/$F$18</f>
        <v>0</v>
      </c>
      <c r="K3" s="63" t="s">
        <v>80</v>
      </c>
      <c r="L3" s="69">
        <f>B26*LCOH!B2</f>
        <v>6584.3750000000018</v>
      </c>
    </row>
    <row r="4" spans="1:12" ht="15" thickBot="1" x14ac:dyDescent="0.35">
      <c r="A4" s="5" t="s">
        <v>13</v>
      </c>
      <c r="B4" s="12">
        <v>0</v>
      </c>
      <c r="C4" s="6">
        <f>B4/$F$18</f>
        <v>0</v>
      </c>
      <c r="K4" s="65" t="s">
        <v>152</v>
      </c>
      <c r="L4" s="68">
        <f>C17</f>
        <v>40100</v>
      </c>
    </row>
    <row r="5" spans="1:12" x14ac:dyDescent="0.3">
      <c r="A5" s="5" t="s">
        <v>76</v>
      </c>
      <c r="B5" s="12">
        <v>0</v>
      </c>
      <c r="C5" s="6">
        <f>B5/$F$18</f>
        <v>0</v>
      </c>
    </row>
    <row r="6" spans="1:12" x14ac:dyDescent="0.3">
      <c r="A6" s="5" t="s">
        <v>78</v>
      </c>
      <c r="B6" s="12">
        <f>J27*LCOH!H6</f>
        <v>20000</v>
      </c>
      <c r="C6" s="6">
        <f>B6/$F$18</f>
        <v>4000</v>
      </c>
    </row>
    <row r="7" spans="1:12" x14ac:dyDescent="0.3">
      <c r="A7" s="5"/>
      <c r="B7" s="12">
        <v>0</v>
      </c>
      <c r="C7" s="6">
        <f>B7/$F$18</f>
        <v>0</v>
      </c>
    </row>
    <row r="8" spans="1:12" x14ac:dyDescent="0.3">
      <c r="A8" s="7" t="s">
        <v>26</v>
      </c>
      <c r="B8" s="10">
        <f>SUM(B2:B7)</f>
        <v>4020000</v>
      </c>
      <c r="C8" s="5"/>
    </row>
    <row r="10" spans="1:12" ht="28.8" x14ac:dyDescent="0.3">
      <c r="A10" s="21" t="s">
        <v>29</v>
      </c>
      <c r="B10" s="9" t="s">
        <v>30</v>
      </c>
      <c r="C10" s="9" t="s">
        <v>38</v>
      </c>
    </row>
    <row r="11" spans="1:12" x14ac:dyDescent="0.3">
      <c r="A11" s="5" t="s">
        <v>74</v>
      </c>
      <c r="B11" s="51">
        <v>0.01</v>
      </c>
      <c r="C11" s="6">
        <f>B11*B2</f>
        <v>40000</v>
      </c>
    </row>
    <row r="12" spans="1:12" x14ac:dyDescent="0.3">
      <c r="A12" s="5" t="s">
        <v>77</v>
      </c>
      <c r="B12" s="51">
        <v>0.01</v>
      </c>
      <c r="C12" s="6">
        <f t="shared" ref="C12:C16" si="0">B12*B3</f>
        <v>0</v>
      </c>
    </row>
    <row r="13" spans="1:12" x14ac:dyDescent="0.3">
      <c r="A13" s="5" t="s">
        <v>13</v>
      </c>
      <c r="B13" s="51">
        <v>0.02</v>
      </c>
      <c r="C13" s="6">
        <f t="shared" si="0"/>
        <v>0</v>
      </c>
    </row>
    <row r="14" spans="1:12" x14ac:dyDescent="0.3">
      <c r="A14" s="5" t="s">
        <v>76</v>
      </c>
      <c r="B14" s="51">
        <v>5.0000000000000001E-3</v>
      </c>
      <c r="C14" s="6">
        <f t="shared" si="0"/>
        <v>0</v>
      </c>
    </row>
    <row r="15" spans="1:12" x14ac:dyDescent="0.3">
      <c r="A15" s="5" t="s">
        <v>78</v>
      </c>
      <c r="B15" s="51">
        <v>5.0000000000000001E-3</v>
      </c>
      <c r="C15" s="6">
        <f t="shared" si="0"/>
        <v>100</v>
      </c>
    </row>
    <row r="16" spans="1:12" x14ac:dyDescent="0.3">
      <c r="A16" s="5"/>
      <c r="B16" s="51"/>
      <c r="C16" s="6">
        <f t="shared" si="0"/>
        <v>0</v>
      </c>
    </row>
    <row r="17" spans="1:11" x14ac:dyDescent="0.3">
      <c r="A17" s="7" t="s">
        <v>31</v>
      </c>
      <c r="B17" s="20">
        <f>C17/B8</f>
        <v>9.9751243781094519E-3</v>
      </c>
      <c r="C17" s="11">
        <f>SUM(C11:C16)</f>
        <v>40100</v>
      </c>
      <c r="E17" s="333" t="s">
        <v>81</v>
      </c>
      <c r="F17" s="334"/>
      <c r="G17" s="335"/>
      <c r="I17" s="333" t="s">
        <v>76</v>
      </c>
      <c r="J17" s="334"/>
      <c r="K17" s="335"/>
    </row>
    <row r="18" spans="1:11" x14ac:dyDescent="0.3">
      <c r="E18" s="13" t="s">
        <v>49</v>
      </c>
      <c r="F18" s="22">
        <v>5</v>
      </c>
      <c r="G18" s="14" t="s">
        <v>93</v>
      </c>
      <c r="I18" s="13" t="s">
        <v>46</v>
      </c>
      <c r="J18" s="32">
        <v>0</v>
      </c>
      <c r="K18" s="14" t="s">
        <v>180</v>
      </c>
    </row>
    <row r="19" spans="1:11" x14ac:dyDescent="0.3">
      <c r="A19" s="21" t="s">
        <v>104</v>
      </c>
      <c r="B19" s="9"/>
      <c r="C19" s="9" t="s">
        <v>215</v>
      </c>
      <c r="E19" s="13" t="s">
        <v>94</v>
      </c>
      <c r="F19" s="22">
        <v>4</v>
      </c>
      <c r="G19" s="14"/>
      <c r="I19" s="13"/>
      <c r="K19" s="14"/>
    </row>
    <row r="20" spans="1:11" x14ac:dyDescent="0.3">
      <c r="A20" s="5" t="s">
        <v>74</v>
      </c>
      <c r="B20" s="26">
        <f>F22*F24*LCOH!E$5/1000</f>
        <v>219.47916666666671</v>
      </c>
      <c r="C20" s="8"/>
      <c r="E20" s="13" t="s">
        <v>102</v>
      </c>
      <c r="F20" s="22">
        <v>1</v>
      </c>
      <c r="G20" s="14"/>
      <c r="I20" s="13"/>
      <c r="J20" s="15"/>
      <c r="K20" s="14"/>
    </row>
    <row r="21" spans="1:11" x14ac:dyDescent="0.3">
      <c r="A21" s="5" t="s">
        <v>77</v>
      </c>
      <c r="B21" s="26">
        <f>C21*F22*F43*LCOH!E$5/1000</f>
        <v>0</v>
      </c>
      <c r="C21" s="8">
        <v>0</v>
      </c>
      <c r="E21" s="13" t="s">
        <v>111</v>
      </c>
      <c r="F21" s="22">
        <v>2</v>
      </c>
      <c r="G21" s="14"/>
      <c r="I21" s="13"/>
      <c r="K21" s="14"/>
    </row>
    <row r="22" spans="1:11" x14ac:dyDescent="0.3">
      <c r="A22" s="5" t="s">
        <v>13</v>
      </c>
      <c r="B22" s="26">
        <f>C22*F22*F36*LCOH!E$5/1000</f>
        <v>0</v>
      </c>
      <c r="C22" s="8">
        <v>0</v>
      </c>
      <c r="E22" s="13" t="s">
        <v>82</v>
      </c>
      <c r="F22" s="38">
        <f>'PROD H2'!F19/METHANATION!F19</f>
        <v>260.41666666666669</v>
      </c>
      <c r="G22" s="14" t="s">
        <v>19</v>
      </c>
      <c r="I22" s="13"/>
      <c r="K22" s="14"/>
    </row>
    <row r="23" spans="1:11" x14ac:dyDescent="0.3">
      <c r="A23" s="5" t="s">
        <v>76</v>
      </c>
      <c r="B23" s="27">
        <f>J18*LCOH!E5/1000</f>
        <v>0</v>
      </c>
      <c r="C23" s="8"/>
      <c r="E23" s="13"/>
      <c r="F23" s="15">
        <f>F22*'MASS BALANCE'!F19</f>
        <v>171.09375000000003</v>
      </c>
      <c r="G23" s="14" t="s">
        <v>20</v>
      </c>
      <c r="I23" s="13"/>
      <c r="J23" s="16"/>
      <c r="K23" s="14"/>
    </row>
    <row r="24" spans="1:11" x14ac:dyDescent="0.3">
      <c r="A24" s="5" t="s">
        <v>78</v>
      </c>
      <c r="B24" s="27">
        <f>J28*LCOH!E5/1000</f>
        <v>0</v>
      </c>
      <c r="C24" s="8"/>
      <c r="E24" s="13" t="s">
        <v>45</v>
      </c>
      <c r="F24" s="22">
        <v>0.1</v>
      </c>
      <c r="G24" s="14" t="s">
        <v>95</v>
      </c>
      <c r="I24" s="17"/>
      <c r="J24" s="18"/>
      <c r="K24" s="19"/>
    </row>
    <row r="25" spans="1:11" x14ac:dyDescent="0.3">
      <c r="A25" s="5"/>
      <c r="B25" s="27"/>
      <c r="C25" s="8"/>
      <c r="E25" s="13"/>
      <c r="F25" s="34">
        <f>F24/'MASS BALANCE'!F19</f>
        <v>0.15220700152207001</v>
      </c>
      <c r="G25" s="14" t="s">
        <v>96</v>
      </c>
    </row>
    <row r="26" spans="1:11" x14ac:dyDescent="0.3">
      <c r="A26" s="7" t="s">
        <v>42</v>
      </c>
      <c r="B26" s="50">
        <f>SUM(B20:B25)</f>
        <v>219.47916666666671</v>
      </c>
      <c r="C26" s="11" t="s">
        <v>34</v>
      </c>
      <c r="E26" s="13" t="s">
        <v>101</v>
      </c>
      <c r="F26" s="38">
        <f>F22*F20</f>
        <v>260.41666666666669</v>
      </c>
      <c r="G26" s="14" t="s">
        <v>108</v>
      </c>
      <c r="I26" s="333" t="s">
        <v>78</v>
      </c>
      <c r="J26" s="334"/>
      <c r="K26" s="335"/>
    </row>
    <row r="27" spans="1:11" x14ac:dyDescent="0.3">
      <c r="E27" s="13"/>
      <c r="F27" s="38">
        <f>F26*'MASS BALANCE'!B19</f>
        <v>514.84375000000011</v>
      </c>
      <c r="G27" s="14" t="s">
        <v>109</v>
      </c>
      <c r="I27" s="13" t="s">
        <v>140</v>
      </c>
      <c r="J27" s="30">
        <v>100</v>
      </c>
      <c r="K27" s="14" t="s">
        <v>139</v>
      </c>
    </row>
    <row r="28" spans="1:11" x14ac:dyDescent="0.3">
      <c r="A28" s="21" t="s">
        <v>110</v>
      </c>
      <c r="B28" s="9"/>
      <c r="C28" s="9"/>
      <c r="E28" s="13" t="s">
        <v>112</v>
      </c>
      <c r="F28" s="32"/>
      <c r="G28" s="14"/>
      <c r="I28" s="13" t="s">
        <v>46</v>
      </c>
      <c r="J28" s="32">
        <v>0</v>
      </c>
      <c r="K28" s="14" t="s">
        <v>180</v>
      </c>
    </row>
    <row r="29" spans="1:11" x14ac:dyDescent="0.3">
      <c r="A29" s="5" t="s">
        <v>74</v>
      </c>
      <c r="B29" s="26">
        <f>F27*LCOH!E$5/1000</f>
        <v>4339.1031250000005</v>
      </c>
      <c r="C29" s="6"/>
      <c r="E29" s="13" t="s">
        <v>113</v>
      </c>
      <c r="F29" s="34">
        <f>F30/1000</f>
        <v>0.4182653698581244</v>
      </c>
      <c r="G29" s="14" t="s">
        <v>118</v>
      </c>
      <c r="I29" s="13"/>
      <c r="J29" s="32"/>
      <c r="K29" s="14"/>
    </row>
    <row r="30" spans="1:11" x14ac:dyDescent="0.3">
      <c r="A30" s="5" t="s">
        <v>77</v>
      </c>
      <c r="B30" s="26">
        <v>0</v>
      </c>
      <c r="C30" s="6"/>
      <c r="E30" s="13"/>
      <c r="F30" s="38">
        <f>'MASS BALANCE'!H26</f>
        <v>418.26536985812442</v>
      </c>
      <c r="G30" s="14" t="s">
        <v>116</v>
      </c>
      <c r="I30" s="17"/>
      <c r="J30" s="31"/>
      <c r="K30" s="19"/>
    </row>
    <row r="31" spans="1:11" x14ac:dyDescent="0.3">
      <c r="A31" s="5" t="s">
        <v>13</v>
      </c>
      <c r="B31" s="26">
        <v>0</v>
      </c>
      <c r="C31" s="6"/>
      <c r="E31" s="13"/>
      <c r="F31" s="32"/>
      <c r="G31" s="14"/>
    </row>
    <row r="32" spans="1:11" x14ac:dyDescent="0.3">
      <c r="A32" s="5" t="s">
        <v>76</v>
      </c>
      <c r="B32" s="26">
        <v>0</v>
      </c>
      <c r="C32" s="6"/>
      <c r="E32" s="13"/>
      <c r="F32" s="34"/>
      <c r="G32" s="14"/>
    </row>
    <row r="33" spans="1:7" x14ac:dyDescent="0.3">
      <c r="A33" s="5" t="s">
        <v>78</v>
      </c>
      <c r="B33" s="26">
        <v>0</v>
      </c>
      <c r="C33" s="6"/>
      <c r="E33" s="17"/>
      <c r="F33" s="61"/>
      <c r="G33" s="19"/>
    </row>
    <row r="34" spans="1:7" x14ac:dyDescent="0.3">
      <c r="A34" s="5"/>
      <c r="B34" s="26"/>
      <c r="C34" s="6"/>
    </row>
    <row r="35" spans="1:7" x14ac:dyDescent="0.3">
      <c r="A35" s="7" t="s">
        <v>100</v>
      </c>
      <c r="B35" s="50">
        <f>SUM(B29:B34)</f>
        <v>4339.1031250000005</v>
      </c>
      <c r="C35" s="11" t="s">
        <v>33</v>
      </c>
      <c r="E35" s="333" t="s">
        <v>36</v>
      </c>
      <c r="F35" s="334"/>
      <c r="G35" s="335"/>
    </row>
    <row r="36" spans="1:7" x14ac:dyDescent="0.3">
      <c r="A36" s="56"/>
      <c r="B36" s="57"/>
      <c r="C36" s="58"/>
      <c r="E36" s="13" t="s">
        <v>45</v>
      </c>
      <c r="F36" s="22">
        <v>0.1</v>
      </c>
      <c r="G36" s="14" t="s">
        <v>95</v>
      </c>
    </row>
    <row r="37" spans="1:7" x14ac:dyDescent="0.3">
      <c r="A37" s="21" t="s">
        <v>99</v>
      </c>
      <c r="B37" s="9"/>
      <c r="C37" s="9"/>
      <c r="E37" s="13"/>
      <c r="F37" s="28">
        <f>F36/'MASS BALANCE'!F19</f>
        <v>0.15220700152207001</v>
      </c>
      <c r="G37" s="14" t="s">
        <v>96</v>
      </c>
    </row>
    <row r="38" spans="1:7" x14ac:dyDescent="0.3">
      <c r="A38" s="5" t="s">
        <v>74</v>
      </c>
      <c r="B38" s="26">
        <f>F29*LCOH!E$5</f>
        <v>3525.1405371642722</v>
      </c>
      <c r="C38" s="6"/>
      <c r="E38" s="13" t="s">
        <v>49</v>
      </c>
      <c r="F38" s="30">
        <v>0</v>
      </c>
      <c r="G38" s="14" t="s">
        <v>5</v>
      </c>
    </row>
    <row r="39" spans="1:7" x14ac:dyDescent="0.3">
      <c r="A39" s="5" t="s">
        <v>77</v>
      </c>
      <c r="B39" s="26">
        <v>0</v>
      </c>
      <c r="C39" s="6"/>
      <c r="E39" s="13"/>
      <c r="F39" s="22"/>
      <c r="G39" s="14"/>
    </row>
    <row r="40" spans="1:7" x14ac:dyDescent="0.3">
      <c r="A40" s="5" t="s">
        <v>13</v>
      </c>
      <c r="B40" s="26">
        <v>0</v>
      </c>
      <c r="C40" s="6"/>
      <c r="E40" s="17"/>
      <c r="F40" s="29"/>
      <c r="G40" s="19"/>
    </row>
    <row r="41" spans="1:7" x14ac:dyDescent="0.3">
      <c r="A41" s="5" t="s">
        <v>76</v>
      </c>
      <c r="B41" s="26">
        <v>0</v>
      </c>
      <c r="C41" s="6"/>
    </row>
    <row r="42" spans="1:7" x14ac:dyDescent="0.3">
      <c r="A42" s="5" t="s">
        <v>78</v>
      </c>
      <c r="B42" s="26">
        <v>0</v>
      </c>
      <c r="C42" s="6"/>
      <c r="E42" s="333" t="s">
        <v>103</v>
      </c>
      <c r="F42" s="334"/>
      <c r="G42" s="335"/>
    </row>
    <row r="43" spans="1:7" x14ac:dyDescent="0.3">
      <c r="A43" s="5"/>
      <c r="B43" s="26"/>
      <c r="C43" s="6"/>
      <c r="E43" s="13" t="s">
        <v>45</v>
      </c>
      <c r="F43" s="22">
        <v>0.1</v>
      </c>
      <c r="G43" s="14" t="s">
        <v>95</v>
      </c>
    </row>
    <row r="44" spans="1:7" x14ac:dyDescent="0.3">
      <c r="A44" s="7" t="s">
        <v>100</v>
      </c>
      <c r="B44" s="50">
        <f>SUM(B38:B43)</f>
        <v>3525.1405371642722</v>
      </c>
      <c r="C44" s="11" t="s">
        <v>44</v>
      </c>
      <c r="E44" s="13"/>
      <c r="F44" s="28">
        <f>F43/'MASS BALANCE'!F19</f>
        <v>0.15220700152207001</v>
      </c>
      <c r="G44" s="14" t="s">
        <v>96</v>
      </c>
    </row>
    <row r="45" spans="1:7" x14ac:dyDescent="0.3">
      <c r="E45" s="13"/>
      <c r="F45" s="23"/>
      <c r="G45" s="14"/>
    </row>
    <row r="46" spans="1:7" x14ac:dyDescent="0.3">
      <c r="A46" s="35" t="s">
        <v>119</v>
      </c>
      <c r="B46" s="36"/>
      <c r="C46" s="37"/>
      <c r="E46" s="17"/>
      <c r="F46" s="29"/>
      <c r="G46" s="19"/>
    </row>
    <row r="47" spans="1:7" x14ac:dyDescent="0.3">
      <c r="A47" s="40" t="s">
        <v>58</v>
      </c>
      <c r="B47" s="41">
        <f>F22*LCOH!E$5</f>
        <v>2194791.666666667</v>
      </c>
      <c r="C47" s="42" t="s">
        <v>120</v>
      </c>
    </row>
    <row r="48" spans="1:7" x14ac:dyDescent="0.3">
      <c r="A48" s="13"/>
      <c r="B48" s="38">
        <f>F23*LCOH!E$5</f>
        <v>1441978.1250000002</v>
      </c>
      <c r="C48" s="14" t="s">
        <v>129</v>
      </c>
    </row>
    <row r="49" spans="1:3" x14ac:dyDescent="0.3">
      <c r="A49" s="13"/>
      <c r="B49" s="38">
        <f>B48/1000</f>
        <v>1441.9781250000003</v>
      </c>
      <c r="C49" s="14" t="s">
        <v>130</v>
      </c>
    </row>
    <row r="50" spans="1:3" x14ac:dyDescent="0.3">
      <c r="A50" s="17"/>
      <c r="B50" s="39">
        <f>B48*'MASS BALANCE'!F20/1000000</f>
        <v>20.043495937500005</v>
      </c>
      <c r="C50" s="19" t="s">
        <v>131</v>
      </c>
    </row>
    <row r="51" spans="1:3" x14ac:dyDescent="0.3">
      <c r="A51" s="40" t="s">
        <v>169</v>
      </c>
      <c r="B51" s="38">
        <f>B47*LCOH!E$2</f>
        <v>43895833.333333343</v>
      </c>
      <c r="C51" s="14" t="s">
        <v>132</v>
      </c>
    </row>
    <row r="52" spans="1:3" x14ac:dyDescent="0.3">
      <c r="A52" s="13"/>
      <c r="B52" s="38">
        <f>B48*LCOH!E$2</f>
        <v>28839562.500000004</v>
      </c>
      <c r="C52" s="14" t="s">
        <v>135</v>
      </c>
    </row>
    <row r="53" spans="1:3" x14ac:dyDescent="0.3">
      <c r="A53" s="13"/>
      <c r="B53" s="38">
        <f>B49*LCOH!E$2</f>
        <v>28839.562500000007</v>
      </c>
      <c r="C53" s="14" t="s">
        <v>134</v>
      </c>
    </row>
    <row r="54" spans="1:3" x14ac:dyDescent="0.3">
      <c r="A54" s="17"/>
      <c r="B54" s="39">
        <f>B50*LCOH!E$2</f>
        <v>400.86991875000012</v>
      </c>
      <c r="C54" s="19" t="s">
        <v>133</v>
      </c>
    </row>
  </sheetData>
  <mergeCells count="6">
    <mergeCell ref="E42:G42"/>
    <mergeCell ref="K1:L1"/>
    <mergeCell ref="E17:G17"/>
    <mergeCell ref="I17:K17"/>
    <mergeCell ref="I26:K26"/>
    <mergeCell ref="E35:G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54F2-1C49-4F77-ADC8-49AC2F124AC4}">
  <sheetPr>
    <tabColor theme="6"/>
  </sheetPr>
  <dimension ref="A1:K53"/>
  <sheetViews>
    <sheetView workbookViewId="0">
      <selection activeCell="J18" sqref="J18"/>
    </sheetView>
  </sheetViews>
  <sheetFormatPr baseColWidth="10" defaultColWidth="11.44140625" defaultRowHeight="14.4" x14ac:dyDescent="0.3"/>
  <cols>
    <col min="1" max="1" width="43.33203125" style="3" customWidth="1"/>
    <col min="2" max="2" width="23.5546875" style="3" customWidth="1"/>
    <col min="3" max="3" width="19.5546875" style="3" customWidth="1"/>
    <col min="4" max="4" width="8" style="3" customWidth="1"/>
    <col min="5" max="5" width="30.109375" style="3" bestFit="1" customWidth="1"/>
    <col min="6" max="6" width="14.33203125" style="3" bestFit="1" customWidth="1"/>
    <col min="7" max="7" width="20" style="3" customWidth="1"/>
    <col min="8" max="8" width="3" style="3" customWidth="1"/>
    <col min="9" max="9" width="11.44140625" style="3"/>
    <col min="10" max="10" width="14" style="3" customWidth="1"/>
    <col min="11" max="11" width="18.88671875" style="3" customWidth="1"/>
    <col min="12" max="16384" width="11.44140625" style="3"/>
  </cols>
  <sheetData>
    <row r="1" spans="1:11" ht="29.4" thickBot="1" x14ac:dyDescent="0.35">
      <c r="A1" s="21" t="s">
        <v>10</v>
      </c>
      <c r="B1" s="9" t="s">
        <v>23</v>
      </c>
      <c r="C1" s="9" t="s">
        <v>92</v>
      </c>
      <c r="J1" s="331" t="s">
        <v>153</v>
      </c>
      <c r="K1" s="332"/>
    </row>
    <row r="2" spans="1:11" x14ac:dyDescent="0.3">
      <c r="A2" s="5" t="s">
        <v>75</v>
      </c>
      <c r="B2" s="12">
        <v>200000</v>
      </c>
      <c r="C2" s="6" t="e">
        <f>B2/($F$18+#REF!)</f>
        <v>#REF!</v>
      </c>
      <c r="J2" s="66" t="s">
        <v>151</v>
      </c>
      <c r="K2" s="67">
        <f>B8</f>
        <v>250000</v>
      </c>
    </row>
    <row r="3" spans="1:11" x14ac:dyDescent="0.3">
      <c r="A3" s="5" t="s">
        <v>150</v>
      </c>
      <c r="B3" s="12">
        <v>50000</v>
      </c>
      <c r="C3" s="6">
        <f>B3/$F$18</f>
        <v>500000</v>
      </c>
      <c r="J3" s="63" t="s">
        <v>80</v>
      </c>
      <c r="K3" s="70">
        <f>B26*LCOH!B2</f>
        <v>6584.3750000000018</v>
      </c>
    </row>
    <row r="4" spans="1:11" ht="15" thickBot="1" x14ac:dyDescent="0.35">
      <c r="A4" s="5"/>
      <c r="B4" s="12">
        <v>0</v>
      </c>
      <c r="C4" s="6">
        <f>B4/$F$18</f>
        <v>0</v>
      </c>
      <c r="J4" s="65" t="s">
        <v>152</v>
      </c>
      <c r="K4" s="68">
        <f>C17</f>
        <v>2250</v>
      </c>
    </row>
    <row r="5" spans="1:11" x14ac:dyDescent="0.3">
      <c r="A5" s="5"/>
      <c r="B5" s="12">
        <v>0</v>
      </c>
      <c r="C5" s="6">
        <f>B5/$F$18</f>
        <v>0</v>
      </c>
    </row>
    <row r="6" spans="1:11" x14ac:dyDescent="0.3">
      <c r="A6" s="5"/>
      <c r="B6" s="12">
        <v>0</v>
      </c>
      <c r="C6" s="6">
        <f>B6/$F$18</f>
        <v>0</v>
      </c>
    </row>
    <row r="7" spans="1:11" x14ac:dyDescent="0.3">
      <c r="A7" s="5"/>
      <c r="B7" s="12">
        <v>0</v>
      </c>
      <c r="C7" s="6">
        <f>B7/$F$18</f>
        <v>0</v>
      </c>
    </row>
    <row r="8" spans="1:11" x14ac:dyDescent="0.3">
      <c r="A8" s="7" t="s">
        <v>26</v>
      </c>
      <c r="B8" s="10">
        <f>SUM(B2:B7)</f>
        <v>250000</v>
      </c>
      <c r="C8" s="5"/>
    </row>
    <row r="10" spans="1:11" ht="28.8" x14ac:dyDescent="0.3">
      <c r="A10" s="21" t="s">
        <v>29</v>
      </c>
      <c r="B10" s="9" t="s">
        <v>30</v>
      </c>
      <c r="C10" s="9" t="s">
        <v>38</v>
      </c>
    </row>
    <row r="11" spans="1:11" x14ac:dyDescent="0.3">
      <c r="A11" s="5" t="s">
        <v>75</v>
      </c>
      <c r="B11" s="51">
        <v>0.01</v>
      </c>
      <c r="C11" s="6">
        <f>B11*B2</f>
        <v>2000</v>
      </c>
    </row>
    <row r="12" spans="1:11" x14ac:dyDescent="0.3">
      <c r="A12" s="5" t="s">
        <v>150</v>
      </c>
      <c r="B12" s="51">
        <v>5.0000000000000001E-3</v>
      </c>
      <c r="C12" s="6">
        <f t="shared" ref="C12:C16" si="0">B12*B3</f>
        <v>250</v>
      </c>
    </row>
    <row r="13" spans="1:11" x14ac:dyDescent="0.3">
      <c r="A13" s="5"/>
      <c r="B13" s="51">
        <v>0</v>
      </c>
      <c r="C13" s="6">
        <f t="shared" si="0"/>
        <v>0</v>
      </c>
    </row>
    <row r="14" spans="1:11" x14ac:dyDescent="0.3">
      <c r="A14" s="5"/>
      <c r="B14" s="51">
        <v>0</v>
      </c>
      <c r="C14" s="6">
        <f t="shared" si="0"/>
        <v>0</v>
      </c>
    </row>
    <row r="15" spans="1:11" x14ac:dyDescent="0.3">
      <c r="A15" s="5"/>
      <c r="B15" s="51">
        <v>0</v>
      </c>
      <c r="C15" s="6">
        <f t="shared" si="0"/>
        <v>0</v>
      </c>
    </row>
    <row r="16" spans="1:11" x14ac:dyDescent="0.3">
      <c r="A16" s="5"/>
      <c r="B16" s="51"/>
      <c r="C16" s="6">
        <f t="shared" si="0"/>
        <v>0</v>
      </c>
    </row>
    <row r="17" spans="1:7" x14ac:dyDescent="0.3">
      <c r="A17" s="7" t="s">
        <v>31</v>
      </c>
      <c r="B17" s="20">
        <f>C17/B8</f>
        <v>8.9999999999999993E-3</v>
      </c>
      <c r="C17" s="11">
        <f>SUM(C11:C16)</f>
        <v>2250</v>
      </c>
      <c r="E17" s="333" t="s">
        <v>103</v>
      </c>
      <c r="F17" s="334"/>
      <c r="G17" s="335"/>
    </row>
    <row r="18" spans="1:7" x14ac:dyDescent="0.3">
      <c r="E18" s="13" t="s">
        <v>45</v>
      </c>
      <c r="F18" s="22">
        <v>0.1</v>
      </c>
      <c r="G18" s="14" t="s">
        <v>175</v>
      </c>
    </row>
    <row r="19" spans="1:7" x14ac:dyDescent="0.3">
      <c r="A19" s="21" t="s">
        <v>104</v>
      </c>
      <c r="B19" s="9"/>
      <c r="C19" s="9"/>
      <c r="E19" s="13"/>
      <c r="F19" s="60">
        <f>F18/'MASS BALANCE'!B19</f>
        <v>5.0581689428426911E-2</v>
      </c>
      <c r="G19" s="14" t="s">
        <v>176</v>
      </c>
    </row>
    <row r="20" spans="1:7" x14ac:dyDescent="0.3">
      <c r="A20" s="5" t="s">
        <v>75</v>
      </c>
      <c r="B20" s="26">
        <f>F18*B29/1000</f>
        <v>219.47916666666671</v>
      </c>
      <c r="C20" s="6"/>
      <c r="E20" s="13" t="s">
        <v>18</v>
      </c>
      <c r="F20" s="24">
        <v>1</v>
      </c>
      <c r="G20" s="14" t="s">
        <v>177</v>
      </c>
    </row>
    <row r="21" spans="1:7" x14ac:dyDescent="0.3">
      <c r="A21" s="5"/>
      <c r="B21" s="26"/>
      <c r="C21" s="6"/>
      <c r="E21" s="13" t="s">
        <v>178</v>
      </c>
      <c r="F21" s="38">
        <f>F23/F20</f>
        <v>260.41666666666669</v>
      </c>
      <c r="G21" s="14" t="s">
        <v>108</v>
      </c>
    </row>
    <row r="22" spans="1:7" x14ac:dyDescent="0.3">
      <c r="A22" s="5"/>
      <c r="B22" s="26"/>
      <c r="C22" s="6"/>
      <c r="E22" s="13"/>
      <c r="F22" s="38">
        <f>F21*'MASS BALANCE'!B19</f>
        <v>514.84375000000011</v>
      </c>
      <c r="G22" s="14" t="s">
        <v>109</v>
      </c>
    </row>
    <row r="23" spans="1:7" x14ac:dyDescent="0.3">
      <c r="A23" s="5"/>
      <c r="B23" s="27"/>
      <c r="C23" s="6"/>
      <c r="E23" s="13" t="s">
        <v>179</v>
      </c>
      <c r="F23" s="38">
        <f>'MASS BALANCE'!B24</f>
        <v>260.41666666666669</v>
      </c>
      <c r="G23" s="14" t="s">
        <v>108</v>
      </c>
    </row>
    <row r="24" spans="1:7" x14ac:dyDescent="0.3">
      <c r="A24" s="5"/>
      <c r="B24" s="27"/>
      <c r="C24" s="6"/>
      <c r="E24" s="17"/>
      <c r="F24" s="39">
        <f>'MASS BALANCE'!B26</f>
        <v>514.84375000000011</v>
      </c>
      <c r="G24" s="19" t="s">
        <v>109</v>
      </c>
    </row>
    <row r="25" spans="1:7" x14ac:dyDescent="0.3">
      <c r="A25" s="5"/>
      <c r="B25" s="27"/>
      <c r="C25" s="6"/>
    </row>
    <row r="26" spans="1:7" x14ac:dyDescent="0.3">
      <c r="A26" s="7" t="s">
        <v>42</v>
      </c>
      <c r="B26" s="50">
        <f>SUM(B20:B25)</f>
        <v>219.47916666666671</v>
      </c>
      <c r="C26" s="11" t="s">
        <v>34</v>
      </c>
    </row>
    <row r="28" spans="1:7" x14ac:dyDescent="0.3">
      <c r="A28" s="35" t="s">
        <v>178</v>
      </c>
      <c r="B28" s="36"/>
      <c r="C28" s="37"/>
    </row>
    <row r="29" spans="1:7" x14ac:dyDescent="0.3">
      <c r="A29" s="40" t="s">
        <v>58</v>
      </c>
      <c r="B29" s="41">
        <f>'MASS BALANCE'!B24*LCOH!E5</f>
        <v>2194791.666666667</v>
      </c>
      <c r="C29" s="42" t="s">
        <v>144</v>
      </c>
    </row>
    <row r="30" spans="1:7" x14ac:dyDescent="0.3">
      <c r="A30" s="13"/>
      <c r="B30" s="38">
        <f>B29*'MASS BALANCE'!B19</f>
        <v>4339103.1250000009</v>
      </c>
      <c r="C30" s="14" t="s">
        <v>145</v>
      </c>
    </row>
    <row r="31" spans="1:7" x14ac:dyDescent="0.3">
      <c r="A31" s="13"/>
      <c r="B31" s="38">
        <f>B30/1000</f>
        <v>4339.1031250000005</v>
      </c>
      <c r="C31" s="14" t="s">
        <v>146</v>
      </c>
    </row>
    <row r="32" spans="1:7" x14ac:dyDescent="0.3">
      <c r="A32" s="17"/>
      <c r="B32" s="39"/>
      <c r="C32" s="19"/>
    </row>
    <row r="33" spans="1:5" x14ac:dyDescent="0.3">
      <c r="A33" s="40" t="s">
        <v>169</v>
      </c>
      <c r="B33" s="41">
        <f>B29*LCOH!E2</f>
        <v>43895833.333333343</v>
      </c>
      <c r="C33" s="42" t="s">
        <v>147</v>
      </c>
    </row>
    <row r="34" spans="1:5" x14ac:dyDescent="0.3">
      <c r="A34" s="13"/>
      <c r="B34" s="38">
        <f>B30*LCOH!E2</f>
        <v>86782062.500000015</v>
      </c>
      <c r="C34" s="14" t="s">
        <v>148</v>
      </c>
    </row>
    <row r="35" spans="1:5" x14ac:dyDescent="0.3">
      <c r="A35" s="13"/>
      <c r="B35" s="38">
        <f>B34/1000</f>
        <v>86782.062500000015</v>
      </c>
      <c r="C35" s="14" t="s">
        <v>149</v>
      </c>
    </row>
    <row r="36" spans="1:5" x14ac:dyDescent="0.3">
      <c r="A36" s="17"/>
      <c r="B36" s="39"/>
      <c r="C36" s="19"/>
    </row>
    <row r="38" spans="1:5" x14ac:dyDescent="0.3">
      <c r="A38" s="35" t="s">
        <v>197</v>
      </c>
      <c r="B38" s="36"/>
      <c r="C38" s="37"/>
    </row>
    <row r="39" spans="1:5" x14ac:dyDescent="0.3">
      <c r="A39" s="40" t="s">
        <v>10</v>
      </c>
      <c r="B39" s="43">
        <f>B8</f>
        <v>250000</v>
      </c>
      <c r="C39" s="42"/>
    </row>
    <row r="40" spans="1:5" x14ac:dyDescent="0.3">
      <c r="A40" s="13" t="s">
        <v>65</v>
      </c>
      <c r="B40" s="44">
        <f>B26*LCOH!B2*LCOH!E2</f>
        <v>131687.50000000003</v>
      </c>
      <c r="C40" s="14"/>
    </row>
    <row r="41" spans="1:5" x14ac:dyDescent="0.3">
      <c r="A41" s="13" t="s">
        <v>68</v>
      </c>
      <c r="B41" s="44">
        <f>C17*LCOH!E2</f>
        <v>45000</v>
      </c>
      <c r="C41" s="14"/>
    </row>
    <row r="42" spans="1:5" x14ac:dyDescent="0.3">
      <c r="A42" s="48" t="s">
        <v>73</v>
      </c>
      <c r="B42" s="49">
        <f>SUM(B39:B41)</f>
        <v>426687.5</v>
      </c>
      <c r="C42" s="19"/>
      <c r="E42" s="108"/>
    </row>
    <row r="43" spans="1:5" x14ac:dyDescent="0.3">
      <c r="A43" s="40" t="s">
        <v>198</v>
      </c>
      <c r="B43" s="110">
        <f>B42/B33</f>
        <v>9.7204556241101067E-3</v>
      </c>
      <c r="C43" s="42" t="s">
        <v>70</v>
      </c>
      <c r="E43" s="109"/>
    </row>
    <row r="44" spans="1:5" ht="18" x14ac:dyDescent="0.3">
      <c r="A44" s="13"/>
      <c r="B44" s="106">
        <f>B42/B34</f>
        <v>4.916770674815431E-3</v>
      </c>
      <c r="C44" s="55" t="s">
        <v>71</v>
      </c>
    </row>
    <row r="45" spans="1:5" x14ac:dyDescent="0.3">
      <c r="A45" s="17"/>
      <c r="B45" s="45"/>
      <c r="C45" s="19"/>
    </row>
    <row r="46" spans="1:5" x14ac:dyDescent="0.3">
      <c r="A46" s="40" t="s">
        <v>199</v>
      </c>
      <c r="B46" s="46">
        <f>B47/'MASS BALANCE'!B19</f>
        <v>2.4869856726431111E-3</v>
      </c>
      <c r="C46" s="42" t="s">
        <v>70</v>
      </c>
    </row>
    <row r="47" spans="1:5" ht="18" x14ac:dyDescent="0.3">
      <c r="A47" s="13"/>
      <c r="B47" s="106">
        <f>(B42+B34*LCOH!B5)/'APPRO CO2 - RECUP BIOGAZ'!B34</f>
        <v>4.916770674815431E-3</v>
      </c>
      <c r="C47" s="55" t="s">
        <v>71</v>
      </c>
    </row>
    <row r="48" spans="1:5" x14ac:dyDescent="0.3">
      <c r="A48" s="107" t="s">
        <v>202</v>
      </c>
      <c r="B48" s="47">
        <f>B42+B34*LCOH!B5</f>
        <v>426687.5</v>
      </c>
      <c r="C48" s="14"/>
    </row>
    <row r="49" spans="1:3" x14ac:dyDescent="0.3">
      <c r="A49" s="40" t="s">
        <v>200</v>
      </c>
      <c r="B49" s="52"/>
      <c r="C49" s="42"/>
    </row>
    <row r="50" spans="1:3" x14ac:dyDescent="0.3">
      <c r="A50" s="13" t="s">
        <v>10</v>
      </c>
      <c r="B50" s="16">
        <f>B39/B48</f>
        <v>0.58590889116742351</v>
      </c>
      <c r="C50" s="14"/>
    </row>
    <row r="51" spans="1:3" x14ac:dyDescent="0.3">
      <c r="A51" s="13" t="s">
        <v>80</v>
      </c>
      <c r="B51" s="16">
        <f>(B40)/B48</f>
        <v>0.30862750842244036</v>
      </c>
      <c r="C51" s="14"/>
    </row>
    <row r="52" spans="1:3" x14ac:dyDescent="0.3">
      <c r="A52" s="13" t="s">
        <v>28</v>
      </c>
      <c r="B52" s="16">
        <f>(B41)/B48</f>
        <v>0.10546360041013622</v>
      </c>
      <c r="C52" s="14"/>
    </row>
    <row r="53" spans="1:3" x14ac:dyDescent="0.3">
      <c r="A53" s="17" t="s">
        <v>201</v>
      </c>
      <c r="B53" s="53">
        <f>B34*LCOH!B5/B48</f>
        <v>0</v>
      </c>
      <c r="C53" s="19"/>
    </row>
  </sheetData>
  <mergeCells count="2">
    <mergeCell ref="E17:G17"/>
    <mergeCell ref="J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F938-6CD6-479E-AE13-E8E92B8710FA}">
  <dimension ref="A1:S37"/>
  <sheetViews>
    <sheetView workbookViewId="0">
      <selection activeCell="I31" sqref="I31"/>
    </sheetView>
  </sheetViews>
  <sheetFormatPr baseColWidth="10" defaultRowHeight="14.4" x14ac:dyDescent="0.3"/>
  <cols>
    <col min="1" max="1" width="25" customWidth="1"/>
    <col min="10" max="10" width="14.88671875" customWidth="1"/>
    <col min="11" max="11" width="12.5546875" style="1" bestFit="1" customWidth="1"/>
    <col min="12" max="12" width="11.5546875" style="1" bestFit="1" customWidth="1"/>
    <col min="13" max="13" width="12.5546875" style="1" bestFit="1" customWidth="1"/>
    <col min="14" max="14" width="11.5546875" style="1" bestFit="1" customWidth="1"/>
    <col min="15" max="15" width="15" customWidth="1"/>
    <col min="16" max="16" width="15.6640625" customWidth="1"/>
    <col min="19" max="19" width="16.44140625" bestFit="1" customWidth="1"/>
  </cols>
  <sheetData>
    <row r="1" spans="1:17" x14ac:dyDescent="0.3">
      <c r="A1" s="339" t="s">
        <v>84</v>
      </c>
      <c r="B1" s="340"/>
      <c r="C1" s="340"/>
      <c r="D1" s="340"/>
      <c r="E1" s="340"/>
      <c r="F1" s="340"/>
      <c r="G1" s="340"/>
      <c r="H1" s="341"/>
      <c r="J1" s="345" t="s">
        <v>190</v>
      </c>
      <c r="K1" s="346"/>
      <c r="L1" s="346"/>
      <c r="M1" s="346"/>
      <c r="N1" s="346"/>
      <c r="O1" s="346"/>
      <c r="P1" s="346"/>
      <c r="Q1" s="347"/>
    </row>
    <row r="2" spans="1:17" s="1" customFormat="1" x14ac:dyDescent="0.3">
      <c r="A2" s="82"/>
      <c r="B2" s="83" t="s">
        <v>7</v>
      </c>
      <c r="C2" s="84" t="s">
        <v>1</v>
      </c>
      <c r="D2" s="83" t="s">
        <v>85</v>
      </c>
      <c r="E2" s="84" t="s">
        <v>8</v>
      </c>
      <c r="F2" s="83" t="s">
        <v>2</v>
      </c>
      <c r="G2" s="84" t="s">
        <v>1</v>
      </c>
      <c r="H2" s="85" t="s">
        <v>86</v>
      </c>
      <c r="J2" s="82"/>
      <c r="K2" s="1" t="s">
        <v>186</v>
      </c>
      <c r="L2" s="1" t="s">
        <v>189</v>
      </c>
      <c r="M2" s="1" t="s">
        <v>187</v>
      </c>
      <c r="N2" s="1" t="s">
        <v>188</v>
      </c>
      <c r="O2" s="1" t="s">
        <v>267</v>
      </c>
      <c r="P2" s="1" t="s">
        <v>268</v>
      </c>
      <c r="Q2" s="87"/>
    </row>
    <row r="3" spans="1:17" x14ac:dyDescent="0.3">
      <c r="A3" s="86" t="s">
        <v>4</v>
      </c>
      <c r="B3" s="1">
        <v>2</v>
      </c>
      <c r="C3" s="1"/>
      <c r="D3" s="1">
        <v>4</v>
      </c>
      <c r="E3" s="1"/>
      <c r="F3" s="1">
        <v>2</v>
      </c>
      <c r="G3" s="1"/>
      <c r="H3" s="87">
        <v>1</v>
      </c>
      <c r="J3" s="348" t="s">
        <v>193</v>
      </c>
      <c r="K3" s="349"/>
      <c r="L3" s="349"/>
      <c r="M3" s="349"/>
      <c r="N3" s="349"/>
      <c r="O3" s="349"/>
      <c r="P3" s="349"/>
      <c r="Q3" s="350"/>
    </row>
    <row r="4" spans="1:17" x14ac:dyDescent="0.3">
      <c r="A4" s="86" t="s">
        <v>6</v>
      </c>
      <c r="B4" s="1">
        <v>18</v>
      </c>
      <c r="C4" s="1"/>
      <c r="D4" s="1"/>
      <c r="E4" s="1"/>
      <c r="F4" s="1">
        <v>2</v>
      </c>
      <c r="G4" s="1"/>
      <c r="H4" s="87">
        <v>32</v>
      </c>
      <c r="J4" s="92" t="s">
        <v>7</v>
      </c>
      <c r="L4" s="88">
        <f>B11*LCOH!$E$5</f>
        <v>8779.1666666666679</v>
      </c>
      <c r="M4" s="88">
        <f>B12*LCOH!$E$5</f>
        <v>8752829.1666666679</v>
      </c>
      <c r="N4" s="88">
        <f>M4/1000</f>
        <v>8752.8291666666682</v>
      </c>
      <c r="O4" s="1"/>
      <c r="P4" s="1"/>
      <c r="Q4" s="93"/>
    </row>
    <row r="5" spans="1:17" x14ac:dyDescent="0.3">
      <c r="A5" s="86" t="s">
        <v>88</v>
      </c>
      <c r="B5" s="1">
        <v>997</v>
      </c>
      <c r="C5" s="1"/>
      <c r="D5" s="1"/>
      <c r="E5" s="1"/>
      <c r="F5" s="104">
        <f>1/11.983</f>
        <v>8.345155637152632E-2</v>
      </c>
      <c r="G5" s="1"/>
      <c r="H5" s="105">
        <f>1/0.7643</f>
        <v>1.3083867591259977</v>
      </c>
      <c r="J5" s="92" t="s">
        <v>0</v>
      </c>
      <c r="K5" s="88">
        <f>B24*LCOH!$E$5</f>
        <v>2194791.666666667</v>
      </c>
      <c r="M5" s="88">
        <f>B26*LCOH!$E$5</f>
        <v>4339103.1250000009</v>
      </c>
      <c r="N5" s="88">
        <f t="shared" ref="N5" si="0">M5/1000</f>
        <v>4339.1031250000005</v>
      </c>
      <c r="O5" s="1"/>
      <c r="P5" s="1"/>
      <c r="Q5" s="93"/>
    </row>
    <row r="6" spans="1:17" x14ac:dyDescent="0.3">
      <c r="A6" s="86" t="s">
        <v>89</v>
      </c>
      <c r="B6" s="1"/>
      <c r="C6" s="1"/>
      <c r="D6" s="1"/>
      <c r="E6" s="1"/>
      <c r="F6" s="1">
        <v>3</v>
      </c>
      <c r="G6" s="1"/>
      <c r="H6" s="87"/>
      <c r="J6" s="92"/>
      <c r="O6" s="1"/>
      <c r="P6" s="1"/>
      <c r="Q6" s="93"/>
    </row>
    <row r="7" spans="1:17" x14ac:dyDescent="0.3">
      <c r="A7" s="86" t="s">
        <v>91</v>
      </c>
      <c r="B7" s="1"/>
      <c r="C7" s="1"/>
      <c r="D7" s="1"/>
      <c r="E7" s="1"/>
      <c r="F7" s="1">
        <v>33.33</v>
      </c>
      <c r="G7" s="1"/>
      <c r="H7" s="87"/>
      <c r="J7" s="95"/>
      <c r="K7" s="96"/>
      <c r="L7" s="96"/>
      <c r="M7" s="96"/>
      <c r="N7" s="96"/>
      <c r="O7" s="96"/>
      <c r="P7" s="96"/>
      <c r="Q7" s="99"/>
    </row>
    <row r="8" spans="1:17" x14ac:dyDescent="0.3">
      <c r="A8" s="86" t="s">
        <v>90</v>
      </c>
      <c r="B8" s="1"/>
      <c r="C8" s="1"/>
      <c r="D8" s="1"/>
      <c r="E8" s="1"/>
      <c r="F8" s="1">
        <v>3.55</v>
      </c>
      <c r="G8" s="1"/>
      <c r="H8" s="87"/>
      <c r="J8" s="351" t="s">
        <v>194</v>
      </c>
      <c r="K8" s="352"/>
      <c r="L8" s="352"/>
      <c r="M8" s="352"/>
      <c r="N8" s="352"/>
      <c r="O8" s="352"/>
      <c r="P8" s="352"/>
      <c r="Q8" s="353"/>
    </row>
    <row r="9" spans="1:17" x14ac:dyDescent="0.3">
      <c r="A9" s="86" t="s">
        <v>271</v>
      </c>
      <c r="B9" s="1"/>
      <c r="C9" s="1"/>
      <c r="D9" s="1"/>
      <c r="E9" s="1"/>
      <c r="F9" s="1">
        <v>39.409999999999997</v>
      </c>
      <c r="G9" s="1"/>
      <c r="H9" s="87"/>
      <c r="J9" s="101"/>
      <c r="K9" s="102"/>
      <c r="L9" s="102"/>
      <c r="M9" s="102"/>
      <c r="N9" s="102"/>
      <c r="O9" s="102"/>
      <c r="P9" s="102"/>
      <c r="Q9" s="103"/>
    </row>
    <row r="10" spans="1:17" x14ac:dyDescent="0.3">
      <c r="A10" s="86" t="s">
        <v>115</v>
      </c>
      <c r="B10" s="88"/>
      <c r="C10" s="1"/>
      <c r="D10" s="1"/>
      <c r="E10" s="1"/>
      <c r="F10" s="88">
        <f>'PROD H2'!F19</f>
        <v>1041.6666666666667</v>
      </c>
      <c r="G10" s="1"/>
      <c r="H10" s="89">
        <f>F10/2</f>
        <v>520.83333333333337</v>
      </c>
      <c r="J10" s="92" t="s">
        <v>2</v>
      </c>
      <c r="K10" s="88">
        <f>F10*LCOH!$E$5</f>
        <v>8779166.6666666679</v>
      </c>
      <c r="M10" s="88">
        <f>F12*LCOH!$E$5</f>
        <v>732635.12197835825</v>
      </c>
      <c r="N10" s="88">
        <f>M10/1000</f>
        <v>732.63512197835826</v>
      </c>
      <c r="O10" s="90">
        <f>M10*F7/1000000</f>
        <v>24.418728615538679</v>
      </c>
      <c r="P10" s="90">
        <f>M10*F9/1000000</f>
        <v>28.873150157167096</v>
      </c>
      <c r="Q10" s="93"/>
    </row>
    <row r="11" spans="1:17" x14ac:dyDescent="0.3">
      <c r="A11" s="86" t="s">
        <v>114</v>
      </c>
      <c r="B11" s="90">
        <f>'PROD H2'!F19*'PROD H2'!F24/1000</f>
        <v>1.0416666666666667</v>
      </c>
      <c r="C11" s="1"/>
      <c r="D11" s="1"/>
      <c r="E11" s="1"/>
      <c r="F11" s="1"/>
      <c r="G11" s="1"/>
      <c r="H11" s="87"/>
      <c r="J11" s="92" t="s">
        <v>86</v>
      </c>
      <c r="K11" s="88">
        <f>H10*LCOH!$E$5</f>
        <v>4389583.333333334</v>
      </c>
      <c r="M11" s="88">
        <f>H12*LCOH!$E$5</f>
        <v>5743272.7114134943</v>
      </c>
      <c r="N11" s="88">
        <f>M11/1000</f>
        <v>5743.2727114134941</v>
      </c>
      <c r="O11" s="1"/>
      <c r="P11" s="1"/>
      <c r="Q11" s="93"/>
    </row>
    <row r="12" spans="1:17" x14ac:dyDescent="0.3">
      <c r="A12" s="86" t="s">
        <v>87</v>
      </c>
      <c r="B12" s="88">
        <f>B11*B5</f>
        <v>1038.5416666666667</v>
      </c>
      <c r="C12" s="1"/>
      <c r="D12" s="1"/>
      <c r="E12" s="1"/>
      <c r="F12" s="88">
        <f>F10*F5</f>
        <v>86.928704553673256</v>
      </c>
      <c r="G12" s="1"/>
      <c r="H12" s="89">
        <f>H10*H5</f>
        <v>681.45143704479051</v>
      </c>
      <c r="J12" s="92" t="s">
        <v>3</v>
      </c>
      <c r="K12" s="88">
        <f>F24*LCOH!$E$5</f>
        <v>2194791.666666667</v>
      </c>
      <c r="M12" s="88">
        <f>F26*LCOH!$E$5</f>
        <v>1441978.1250000002</v>
      </c>
      <c r="N12" s="88">
        <f t="shared" ref="N12:N13" si="1">M12/1000</f>
        <v>1441.9781250000003</v>
      </c>
      <c r="O12" s="90">
        <f>M12*F20/1000000</f>
        <v>20.043495937500005</v>
      </c>
      <c r="P12" s="90">
        <f>M12*F23/1000000</f>
        <v>22.208193498750006</v>
      </c>
      <c r="Q12" s="93"/>
    </row>
    <row r="13" spans="1:17" x14ac:dyDescent="0.3">
      <c r="A13" s="86" t="s">
        <v>183</v>
      </c>
      <c r="B13" s="1"/>
      <c r="C13" s="1"/>
      <c r="D13" s="1"/>
      <c r="E13" s="1"/>
      <c r="F13" s="91">
        <f>F12*F7/1000</f>
        <v>2.8973337227739293</v>
      </c>
      <c r="G13" s="1"/>
      <c r="H13" s="87"/>
      <c r="J13" s="92" t="s">
        <v>7</v>
      </c>
      <c r="K13" s="88"/>
      <c r="L13" s="88">
        <f>H25*LCOH!$E$5</f>
        <v>3525.1405371642722</v>
      </c>
      <c r="M13" s="88">
        <f>H26*LCOH!$E$5</f>
        <v>3525140.5371642727</v>
      </c>
      <c r="N13" s="88">
        <f t="shared" si="1"/>
        <v>3525.1405371642727</v>
      </c>
      <c r="O13" s="1"/>
      <c r="P13" s="1"/>
      <c r="Q13" s="93"/>
    </row>
    <row r="14" spans="1:17" x14ac:dyDescent="0.3">
      <c r="A14" s="92"/>
      <c r="H14" s="93"/>
      <c r="J14" s="92"/>
      <c r="Q14" s="93"/>
    </row>
    <row r="15" spans="1:17" x14ac:dyDescent="0.3">
      <c r="A15" s="336" t="s">
        <v>83</v>
      </c>
      <c r="B15" s="337"/>
      <c r="C15" s="337"/>
      <c r="D15" s="337"/>
      <c r="E15" s="337"/>
      <c r="F15" s="337"/>
      <c r="G15" s="337"/>
      <c r="H15" s="338"/>
      <c r="J15" s="345" t="s">
        <v>192</v>
      </c>
      <c r="K15" s="346"/>
      <c r="L15" s="346"/>
      <c r="M15" s="346"/>
      <c r="N15" s="346"/>
      <c r="O15" s="346"/>
      <c r="P15" s="346"/>
      <c r="Q15" s="347"/>
    </row>
    <row r="16" spans="1:17" x14ac:dyDescent="0.3">
      <c r="A16" s="92"/>
      <c r="B16" s="83" t="s">
        <v>0</v>
      </c>
      <c r="C16" s="84" t="s">
        <v>1</v>
      </c>
      <c r="D16" s="83" t="s">
        <v>2</v>
      </c>
      <c r="E16" s="84" t="s">
        <v>8</v>
      </c>
      <c r="F16" s="83" t="s">
        <v>3</v>
      </c>
      <c r="G16" s="84" t="s">
        <v>1</v>
      </c>
      <c r="H16" s="85" t="s">
        <v>7</v>
      </c>
      <c r="J16" s="82"/>
      <c r="K16" s="1" t="s">
        <v>60</v>
      </c>
      <c r="L16" s="1" t="s">
        <v>143</v>
      </c>
      <c r="M16" s="1" t="s">
        <v>61</v>
      </c>
      <c r="N16" s="1" t="s">
        <v>62</v>
      </c>
      <c r="O16" s="1" t="s">
        <v>269</v>
      </c>
      <c r="P16" s="1" t="s">
        <v>270</v>
      </c>
      <c r="Q16" s="87"/>
    </row>
    <row r="17" spans="1:19" x14ac:dyDescent="0.3">
      <c r="A17" s="92" t="s">
        <v>4</v>
      </c>
      <c r="B17" s="1">
        <f>METHANATION!F20</f>
        <v>1</v>
      </c>
      <c r="C17" s="1"/>
      <c r="D17" s="1">
        <f>METHANATION!F19</f>
        <v>4</v>
      </c>
      <c r="E17" s="1"/>
      <c r="F17" s="1">
        <v>1</v>
      </c>
      <c r="G17" s="1"/>
      <c r="H17" s="87">
        <f>METHANATION!F21</f>
        <v>2</v>
      </c>
      <c r="J17" s="348" t="s">
        <v>193</v>
      </c>
      <c r="K17" s="349"/>
      <c r="L17" s="349"/>
      <c r="M17" s="349"/>
      <c r="N17" s="349"/>
      <c r="O17" s="349"/>
      <c r="P17" s="349"/>
      <c r="Q17" s="350"/>
    </row>
    <row r="18" spans="1:19" x14ac:dyDescent="0.3">
      <c r="A18" s="92" t="s">
        <v>6</v>
      </c>
      <c r="B18" s="1">
        <v>44</v>
      </c>
      <c r="C18" s="1"/>
      <c r="D18" s="1">
        <v>2</v>
      </c>
      <c r="E18" s="1"/>
      <c r="F18" s="1">
        <v>16</v>
      </c>
      <c r="G18" s="1"/>
      <c r="H18" s="87">
        <v>18</v>
      </c>
      <c r="J18" s="92" t="s">
        <v>7</v>
      </c>
      <c r="L18" s="88">
        <f>L4*LCOH!$E$2</f>
        <v>175583.33333333337</v>
      </c>
      <c r="M18" s="88">
        <f>M4*LCOH!$E$2</f>
        <v>175056583.33333337</v>
      </c>
      <c r="N18" s="88">
        <f>N4*LCOH!$E$2</f>
        <v>175056.58333333337</v>
      </c>
      <c r="O18" s="1"/>
      <c r="P18" s="1"/>
      <c r="Q18" s="87"/>
    </row>
    <row r="19" spans="1:19" x14ac:dyDescent="0.3">
      <c r="A19" s="92" t="s">
        <v>88</v>
      </c>
      <c r="B19" s="1">
        <v>1.9770000000000001</v>
      </c>
      <c r="C19" s="1"/>
      <c r="D19" s="1">
        <f>F5</f>
        <v>8.345155637152632E-2</v>
      </c>
      <c r="E19" s="1"/>
      <c r="F19" s="1">
        <v>0.65700000000000003</v>
      </c>
      <c r="G19" s="1"/>
      <c r="H19" s="87">
        <f>B5</f>
        <v>997</v>
      </c>
      <c r="J19" s="92" t="s">
        <v>0</v>
      </c>
      <c r="K19" s="88">
        <f>K5*LCOH!$E$2</f>
        <v>43895833.333333343</v>
      </c>
      <c r="L19" s="88"/>
      <c r="M19" s="88">
        <f>M5*LCOH!$E$2</f>
        <v>86782062.500000015</v>
      </c>
      <c r="N19" s="88">
        <f>N5*LCOH!$E$2</f>
        <v>86782.062500000015</v>
      </c>
      <c r="O19" s="1"/>
      <c r="P19" s="1"/>
      <c r="Q19" s="87"/>
      <c r="S19" s="2"/>
    </row>
    <row r="20" spans="1:19" x14ac:dyDescent="0.3">
      <c r="A20" s="92" t="s">
        <v>91</v>
      </c>
      <c r="B20" s="1"/>
      <c r="C20" s="1"/>
      <c r="D20" s="1">
        <v>33.33</v>
      </c>
      <c r="E20" s="1"/>
      <c r="F20" s="1">
        <v>13.9</v>
      </c>
      <c r="G20" s="1"/>
      <c r="H20" s="87"/>
      <c r="J20" s="92"/>
      <c r="O20" s="1"/>
      <c r="P20" s="1"/>
      <c r="Q20" s="87"/>
    </row>
    <row r="21" spans="1:19" x14ac:dyDescent="0.3">
      <c r="A21" s="92" t="s">
        <v>89</v>
      </c>
      <c r="B21" s="1"/>
      <c r="C21" s="1"/>
      <c r="D21" s="1">
        <v>3</v>
      </c>
      <c r="E21" s="1"/>
      <c r="F21" s="1">
        <v>9.9600000000000009</v>
      </c>
      <c r="G21" s="1"/>
      <c r="H21" s="87"/>
      <c r="J21" s="95"/>
      <c r="K21" s="96"/>
      <c r="L21" s="96"/>
      <c r="M21" s="96"/>
      <c r="N21" s="96"/>
      <c r="O21" s="96"/>
      <c r="P21" s="96"/>
      <c r="Q21" s="97"/>
      <c r="S21" s="2"/>
    </row>
    <row r="22" spans="1:19" x14ac:dyDescent="0.3">
      <c r="A22" s="86" t="s">
        <v>90</v>
      </c>
      <c r="B22" s="1"/>
      <c r="C22" s="1"/>
      <c r="D22" s="1"/>
      <c r="E22" s="1"/>
      <c r="F22" s="90">
        <f>F21*1.108</f>
        <v>11.035680000000001</v>
      </c>
      <c r="G22" s="1"/>
      <c r="H22" s="87"/>
      <c r="J22" s="351" t="s">
        <v>194</v>
      </c>
      <c r="K22" s="352"/>
      <c r="L22" s="352"/>
      <c r="M22" s="352"/>
      <c r="N22" s="352"/>
      <c r="O22" s="352"/>
      <c r="P22" s="352"/>
      <c r="Q22" s="353"/>
    </row>
    <row r="23" spans="1:19" x14ac:dyDescent="0.3">
      <c r="A23" s="86" t="s">
        <v>271</v>
      </c>
      <c r="B23" s="1"/>
      <c r="C23" s="1"/>
      <c r="D23" s="1"/>
      <c r="E23" s="1"/>
      <c r="F23" s="90">
        <f>F20*1.108</f>
        <v>15.401200000000001</v>
      </c>
      <c r="G23" s="1"/>
      <c r="H23" s="87"/>
      <c r="J23" s="92" t="s">
        <v>2</v>
      </c>
      <c r="K23" s="88">
        <f>K10*LCOH!$E$2</f>
        <v>175583333.33333337</v>
      </c>
      <c r="L23" s="88"/>
      <c r="M23" s="88">
        <f>M10*LCOH!$E$2</f>
        <v>14652702.439567165</v>
      </c>
      <c r="N23" s="88">
        <f>N10*LCOH!$E$2</f>
        <v>14652.702439567165</v>
      </c>
      <c r="O23" s="88">
        <f>O10*LCOH!$E$2</f>
        <v>488.3745723107736</v>
      </c>
      <c r="P23" s="88">
        <f>P10*LCOH!$E$2</f>
        <v>577.46300314334189</v>
      </c>
      <c r="Q23" s="87"/>
    </row>
    <row r="24" spans="1:19" x14ac:dyDescent="0.3">
      <c r="A24" s="92" t="s">
        <v>115</v>
      </c>
      <c r="B24" s="88">
        <f>METHANATION!F26</f>
        <v>260.41666666666669</v>
      </c>
      <c r="C24" s="1"/>
      <c r="D24" s="88">
        <f>'PROD H2'!F19</f>
        <v>1041.6666666666667</v>
      </c>
      <c r="E24" s="1"/>
      <c r="F24" s="88">
        <f>D24/D17</f>
        <v>260.41666666666669</v>
      </c>
      <c r="G24" s="1"/>
      <c r="H24" s="89">
        <f>H17*F24</f>
        <v>520.83333333333337</v>
      </c>
      <c r="J24" s="92" t="s">
        <v>86</v>
      </c>
      <c r="K24" s="88">
        <f>K11*LCOH!$E$2</f>
        <v>87791666.666666687</v>
      </c>
      <c r="L24" s="88"/>
      <c r="M24" s="88">
        <f>M11*LCOH!$E$2</f>
        <v>114865454.22826989</v>
      </c>
      <c r="N24" s="88">
        <f>N11*LCOH!$E$2</f>
        <v>114865.45422826988</v>
      </c>
      <c r="O24" s="88"/>
      <c r="P24" s="88"/>
      <c r="Q24" s="87"/>
    </row>
    <row r="25" spans="1:19" x14ac:dyDescent="0.3">
      <c r="A25" s="92" t="s">
        <v>114</v>
      </c>
      <c r="B25" s="88"/>
      <c r="C25" s="1"/>
      <c r="D25" s="88"/>
      <c r="E25" s="1"/>
      <c r="F25" s="88"/>
      <c r="G25" s="1"/>
      <c r="H25" s="94">
        <f>H26/1000</f>
        <v>0.4182653698581244</v>
      </c>
      <c r="J25" s="92" t="s">
        <v>3</v>
      </c>
      <c r="K25" s="88">
        <f>K12*LCOH!$E$2</f>
        <v>43895833.333333343</v>
      </c>
      <c r="L25" s="88"/>
      <c r="M25" s="88">
        <f>M12*LCOH!$E$2</f>
        <v>28839562.500000004</v>
      </c>
      <c r="N25" s="88">
        <f>N12*LCOH!$E$2</f>
        <v>28839.562500000007</v>
      </c>
      <c r="O25" s="88">
        <f>O12*LCOH!$E$2</f>
        <v>400.86991875000012</v>
      </c>
      <c r="P25" s="88">
        <f>P12*LCOH!$E$2</f>
        <v>444.16386997500013</v>
      </c>
      <c r="Q25" s="87"/>
      <c r="S25" s="2"/>
    </row>
    <row r="26" spans="1:19" x14ac:dyDescent="0.3">
      <c r="A26" s="92" t="s">
        <v>87</v>
      </c>
      <c r="B26" s="88">
        <f>B24*B19</f>
        <v>514.84375000000011</v>
      </c>
      <c r="C26" s="1"/>
      <c r="D26" s="88">
        <f>D24*D19</f>
        <v>86.928704553673256</v>
      </c>
      <c r="E26" s="1"/>
      <c r="F26" s="88">
        <f>F24*F19</f>
        <v>171.09375000000003</v>
      </c>
      <c r="G26" s="1"/>
      <c r="H26" s="89">
        <f>H24/22.414*H18</f>
        <v>418.26536985812442</v>
      </c>
      <c r="J26" s="95" t="s">
        <v>7</v>
      </c>
      <c r="K26" s="100"/>
      <c r="L26" s="100">
        <f>L13*LCOH!$E$2</f>
        <v>70502.810743285445</v>
      </c>
      <c r="M26" s="100">
        <f>M13*LCOH!$E$2</f>
        <v>70502810.743285447</v>
      </c>
      <c r="N26" s="100">
        <f>N13*LCOH!$E$2</f>
        <v>70502.810743285459</v>
      </c>
      <c r="O26" s="100"/>
      <c r="P26" s="100"/>
      <c r="Q26" s="97"/>
    </row>
    <row r="27" spans="1:19" x14ac:dyDescent="0.3">
      <c r="A27" s="92" t="s">
        <v>183</v>
      </c>
      <c r="B27" s="1"/>
      <c r="C27" s="1"/>
      <c r="D27" s="91">
        <f>D26*D20/1000</f>
        <v>2.8973337227739293</v>
      </c>
      <c r="E27" s="1"/>
      <c r="F27" s="90">
        <f>F26*F20/1000</f>
        <v>2.3782031250000006</v>
      </c>
      <c r="G27" s="1"/>
      <c r="H27" s="87"/>
    </row>
    <row r="28" spans="1:19" x14ac:dyDescent="0.3">
      <c r="A28" s="92"/>
      <c r="H28" s="93"/>
    </row>
    <row r="29" spans="1:19" x14ac:dyDescent="0.3">
      <c r="A29" s="342" t="s">
        <v>117</v>
      </c>
      <c r="B29" s="343"/>
      <c r="C29" s="343"/>
      <c r="D29" s="343"/>
      <c r="E29" s="343"/>
      <c r="F29" s="343"/>
      <c r="G29" s="343"/>
      <c r="H29" s="344"/>
    </row>
    <row r="30" spans="1:19" x14ac:dyDescent="0.3">
      <c r="A30" s="92"/>
      <c r="B30" s="1" t="s">
        <v>7</v>
      </c>
      <c r="C30" s="1" t="s">
        <v>2</v>
      </c>
      <c r="D30" s="1" t="s">
        <v>86</v>
      </c>
      <c r="E30" s="1" t="s">
        <v>0</v>
      </c>
      <c r="F30" s="1" t="s">
        <v>3</v>
      </c>
      <c r="G30" s="1"/>
      <c r="H30" s="87"/>
      <c r="L30" s="1">
        <v>2000000</v>
      </c>
      <c r="M30" s="1" t="s">
        <v>276</v>
      </c>
    </row>
    <row r="31" spans="1:19" x14ac:dyDescent="0.3">
      <c r="A31" s="92" t="s">
        <v>4</v>
      </c>
      <c r="B31" s="1">
        <f>B3*2-H17</f>
        <v>2</v>
      </c>
      <c r="C31" s="1">
        <f>F3*2-D17</f>
        <v>0</v>
      </c>
      <c r="D31" s="1">
        <f>H3*2</f>
        <v>2</v>
      </c>
      <c r="E31" s="1">
        <f>-B17</f>
        <v>-1</v>
      </c>
      <c r="F31" s="1">
        <f>F17</f>
        <v>1</v>
      </c>
      <c r="G31" s="1"/>
      <c r="H31" s="87"/>
      <c r="L31" s="1">
        <f>L30/B19</f>
        <v>1011633.7885685381</v>
      </c>
      <c r="M31" s="1" t="s">
        <v>275</v>
      </c>
    </row>
    <row r="32" spans="1:19" x14ac:dyDescent="0.3">
      <c r="A32" s="92" t="s">
        <v>115</v>
      </c>
      <c r="B32" s="1"/>
      <c r="C32" s="88">
        <f>F10-D24</f>
        <v>0</v>
      </c>
      <c r="D32" s="88">
        <f>H10</f>
        <v>520.83333333333337</v>
      </c>
      <c r="E32" s="88">
        <f>-B24</f>
        <v>-260.41666666666669</v>
      </c>
      <c r="F32" s="88">
        <f>F24</f>
        <v>260.41666666666669</v>
      </c>
      <c r="G32" s="1"/>
      <c r="H32" s="87"/>
    </row>
    <row r="33" spans="1:8" x14ac:dyDescent="0.3">
      <c r="A33" s="92" t="s">
        <v>114</v>
      </c>
      <c r="B33" s="91">
        <f>H25-B11</f>
        <v>-0.62340129680854228</v>
      </c>
      <c r="C33" s="1"/>
      <c r="D33" s="1"/>
      <c r="E33" s="1"/>
      <c r="F33" s="1"/>
      <c r="G33" s="1"/>
      <c r="H33" s="87"/>
    </row>
    <row r="34" spans="1:8" x14ac:dyDescent="0.3">
      <c r="A34" s="92" t="s">
        <v>87</v>
      </c>
      <c r="B34" s="88">
        <f>B33*B5</f>
        <v>-621.53109291811666</v>
      </c>
      <c r="C34" s="88">
        <f>F12-D26</f>
        <v>0</v>
      </c>
      <c r="D34" s="88">
        <f>H12</f>
        <v>681.45143704479051</v>
      </c>
      <c r="E34" s="88">
        <f>-B26</f>
        <v>-514.84375000000011</v>
      </c>
      <c r="F34" s="88">
        <f>F26</f>
        <v>171.09375000000003</v>
      </c>
      <c r="G34" s="1"/>
      <c r="H34" s="87"/>
    </row>
    <row r="35" spans="1:8" x14ac:dyDescent="0.3">
      <c r="A35" s="92" t="s">
        <v>191</v>
      </c>
      <c r="B35" s="1"/>
      <c r="C35" s="1"/>
      <c r="D35" s="1"/>
      <c r="E35" s="1"/>
      <c r="F35" s="90">
        <f>F34*F20/1000</f>
        <v>2.3782031250000006</v>
      </c>
      <c r="G35" s="1"/>
      <c r="H35" s="87"/>
    </row>
    <row r="36" spans="1:8" x14ac:dyDescent="0.3">
      <c r="A36" s="95"/>
      <c r="B36" s="96"/>
      <c r="C36" s="96"/>
      <c r="D36" s="96"/>
      <c r="E36" s="96"/>
      <c r="F36" s="96"/>
      <c r="G36" s="96"/>
      <c r="H36" s="97"/>
    </row>
    <row r="37" spans="1:8" x14ac:dyDescent="0.3">
      <c r="B37" s="1"/>
      <c r="C37" s="1"/>
      <c r="D37" s="1"/>
      <c r="E37" s="1"/>
      <c r="F37" s="1"/>
      <c r="G37" s="1"/>
      <c r="H37" s="1"/>
    </row>
  </sheetData>
  <mergeCells count="9">
    <mergeCell ref="A15:H15"/>
    <mergeCell ref="A1:H1"/>
    <mergeCell ref="A29:H29"/>
    <mergeCell ref="J1:Q1"/>
    <mergeCell ref="J15:Q15"/>
    <mergeCell ref="J3:Q3"/>
    <mergeCell ref="J8:Q8"/>
    <mergeCell ref="J17:Q17"/>
    <mergeCell ref="J22:Q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2FB4-E12F-4BD7-9A87-9AD80547FFD5}">
  <dimension ref="B2:D7"/>
  <sheetViews>
    <sheetView workbookViewId="0">
      <selection activeCell="G26" sqref="G26"/>
    </sheetView>
  </sheetViews>
  <sheetFormatPr baseColWidth="10" defaultRowHeight="14.4" x14ac:dyDescent="0.3"/>
  <sheetData>
    <row r="2" spans="2:4" x14ac:dyDescent="0.3">
      <c r="B2" s="62" t="s">
        <v>142</v>
      </c>
    </row>
    <row r="4" spans="2:4" x14ac:dyDescent="0.3">
      <c r="B4" t="s">
        <v>3</v>
      </c>
      <c r="C4">
        <v>400</v>
      </c>
      <c r="D4" t="s">
        <v>19</v>
      </c>
    </row>
    <row r="5" spans="2:4" x14ac:dyDescent="0.3">
      <c r="B5" t="s">
        <v>7</v>
      </c>
      <c r="C5">
        <v>700</v>
      </c>
      <c r="D5" t="s">
        <v>116</v>
      </c>
    </row>
    <row r="6" spans="2:4" x14ac:dyDescent="0.3">
      <c r="B6" t="s">
        <v>2</v>
      </c>
      <c r="C6">
        <v>1600</v>
      </c>
      <c r="D6" t="s">
        <v>19</v>
      </c>
    </row>
    <row r="7" spans="2:4" x14ac:dyDescent="0.3">
      <c r="B7" t="s">
        <v>0</v>
      </c>
      <c r="C7">
        <v>400</v>
      </c>
      <c r="D7" t="s">
        <v>19</v>
      </c>
    </row>
  </sheetData>
  <hyperlinks>
    <hyperlink ref="B2" r:id="rId1" xr:uid="{5541AFFE-2EFE-4944-A824-408ECF6EF6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LCOH</vt:lpstr>
      <vt:lpstr>REVENUS</vt:lpstr>
      <vt:lpstr>SITE</vt:lpstr>
      <vt:lpstr>PROD H2</vt:lpstr>
      <vt:lpstr>METHANATION</vt:lpstr>
      <vt:lpstr>APPRO CO2 - RECUP BIOGAZ</vt:lpstr>
      <vt:lpstr>MASS BALANCE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 AUPRETRE</dc:creator>
  <cp:lastModifiedBy>Mamadou KEBE</cp:lastModifiedBy>
  <dcterms:created xsi:type="dcterms:W3CDTF">2025-04-14T22:14:24Z</dcterms:created>
  <dcterms:modified xsi:type="dcterms:W3CDTF">2025-07-09T07:55:39Z</dcterms:modified>
</cp:coreProperties>
</file>