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4_НОРМОТВОРЧЕСТВО\МТО\отчет для ФС_28.12.2015\"/>
    </mc:Choice>
  </mc:AlternateContent>
  <bookViews>
    <workbookView xWindow="0" yWindow="0" windowWidth="20736" windowHeight="9588"/>
  </bookViews>
  <sheets>
    <sheet name="отчет" sheetId="2" r:id="rId1"/>
    <sheet name="примечания" sheetId="3" r:id="rId2"/>
    <sheet name="СТ-отгрузки" sheetId="10" r:id="rId3"/>
    <sheet name="СТ-платежи" sheetId="5" r:id="rId4"/>
  </sheets>
  <definedNames>
    <definedName name="_xlnm._FilterDatabase" localSheetId="0" hidden="1">отчет!$A$4:$AE$126</definedName>
    <definedName name="GalDBVar_rezerv_02a">#REF!</definedName>
    <definedName name="_xlnm.Print_Area" localSheetId="0">отчет!$A$1:$AE$126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2" l="1"/>
  <c r="U12" i="2"/>
  <c r="U11" i="2"/>
  <c r="S12" i="2"/>
  <c r="S11" i="2"/>
  <c r="Q14" i="2"/>
  <c r="P10" i="2"/>
  <c r="Q10" i="2" s="1"/>
  <c r="B107" i="2" l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92" i="2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72" i="2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41" i="2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A38" i="2" l="1"/>
  <c r="S83" i="2" l="1"/>
  <c r="S15" i="2"/>
  <c r="E122" i="2"/>
  <c r="E112" i="2"/>
  <c r="E113" i="2" s="1"/>
  <c r="E114" i="2" s="1"/>
  <c r="E108" i="2"/>
  <c r="E109" i="2" s="1"/>
  <c r="E110" i="2" s="1"/>
  <c r="E99" i="2"/>
  <c r="E97" i="2"/>
  <c r="E94" i="2"/>
  <c r="E95" i="2" s="1"/>
  <c r="E81" i="2"/>
  <c r="E82" i="2" s="1"/>
  <c r="E83" i="2" s="1"/>
  <c r="E73" i="2"/>
  <c r="E74" i="2" s="1"/>
  <c r="E75" i="2" s="1"/>
  <c r="E76" i="2" s="1"/>
  <c r="E77" i="2" s="1"/>
  <c r="E78" i="2" s="1"/>
  <c r="E79" i="2" s="1"/>
  <c r="E63" i="2"/>
  <c r="E52" i="2"/>
  <c r="E53" i="2" s="1"/>
  <c r="E54" i="2" s="1"/>
  <c r="E55" i="2" s="1"/>
  <c r="E56" i="2" s="1"/>
  <c r="E57" i="2" s="1"/>
  <c r="E58" i="2" s="1"/>
  <c r="E59" i="2" s="1"/>
  <c r="E47" i="2"/>
  <c r="E48" i="2" s="1"/>
  <c r="E49" i="2" s="1"/>
  <c r="E50" i="2" s="1"/>
  <c r="E42" i="2"/>
  <c r="E43" i="2" s="1"/>
  <c r="E44" i="2" s="1"/>
  <c r="E45" i="2" s="1"/>
  <c r="E36" i="2"/>
  <c r="E37" i="2" s="1"/>
  <c r="E38" i="2" s="1"/>
  <c r="E39" i="2" s="1"/>
  <c r="E32" i="2"/>
  <c r="E33" i="2" s="1"/>
  <c r="E34" i="2" s="1"/>
  <c r="E28" i="2"/>
  <c r="E29" i="2" s="1"/>
  <c r="E30" i="2" s="1"/>
  <c r="E24" i="2"/>
  <c r="E25" i="2" s="1"/>
  <c r="E26" i="2" s="1"/>
  <c r="E18" i="2"/>
  <c r="E19" i="2" s="1"/>
  <c r="E20" i="2" s="1"/>
  <c r="E14" i="2"/>
  <c r="E15" i="2" s="1"/>
  <c r="E16" i="2" s="1"/>
  <c r="E10" i="2"/>
  <c r="E11" i="2" s="1"/>
  <c r="E12" i="2" s="1"/>
  <c r="G122" i="2"/>
  <c r="F122" i="2"/>
  <c r="G113" i="2"/>
  <c r="G114" i="2" s="1"/>
  <c r="F113" i="2"/>
  <c r="F114" i="2" s="1"/>
  <c r="G109" i="2"/>
  <c r="G110" i="2" s="1"/>
  <c r="F109" i="2"/>
  <c r="F110" i="2" s="1"/>
  <c r="G99" i="2"/>
  <c r="F99" i="2"/>
  <c r="G97" i="2"/>
  <c r="F97" i="2"/>
  <c r="G94" i="2"/>
  <c r="G95" i="2" s="1"/>
  <c r="F94" i="2"/>
  <c r="F95" i="2" s="1"/>
  <c r="G82" i="2"/>
  <c r="G83" i="2" s="1"/>
  <c r="F82" i="2"/>
  <c r="F83" i="2" s="1"/>
  <c r="G77" i="2"/>
  <c r="G78" i="2" s="1"/>
  <c r="G79" i="2" s="1"/>
  <c r="F77" i="2"/>
  <c r="F78" i="2" s="1"/>
  <c r="F79" i="2" s="1"/>
  <c r="G74" i="2"/>
  <c r="G75" i="2" s="1"/>
  <c r="F74" i="2"/>
  <c r="F75" i="2" s="1"/>
  <c r="G58" i="2"/>
  <c r="G59" i="2" s="1"/>
  <c r="F58" i="2"/>
  <c r="F59" i="2" s="1"/>
  <c r="G53" i="2"/>
  <c r="G54" i="2" s="1"/>
  <c r="G55" i="2" s="1"/>
  <c r="G56" i="2" s="1"/>
  <c r="F53" i="2"/>
  <c r="F54" i="2" s="1"/>
  <c r="F55" i="2" s="1"/>
  <c r="F56" i="2" s="1"/>
  <c r="G48" i="2"/>
  <c r="G49" i="2" s="1"/>
  <c r="G50" i="2" s="1"/>
  <c r="F48" i="2"/>
  <c r="F49" i="2" s="1"/>
  <c r="F50" i="2" s="1"/>
  <c r="G43" i="2"/>
  <c r="G44" i="2" s="1"/>
  <c r="G45" i="2" s="1"/>
  <c r="F43" i="2"/>
  <c r="F44" i="2" s="1"/>
  <c r="F45" i="2" s="1"/>
  <c r="G37" i="2"/>
  <c r="G38" i="2" s="1"/>
  <c r="G39" i="2" s="1"/>
  <c r="F37" i="2"/>
  <c r="F38" i="2" s="1"/>
  <c r="F39" i="2" s="1"/>
  <c r="G33" i="2"/>
  <c r="G34" i="2" s="1"/>
  <c r="F33" i="2"/>
  <c r="F34" i="2" s="1"/>
  <c r="G29" i="2"/>
  <c r="G30" i="2" s="1"/>
  <c r="F29" i="2"/>
  <c r="F30" i="2" s="1"/>
  <c r="G25" i="2"/>
  <c r="G26" i="2" s="1"/>
  <c r="F25" i="2"/>
  <c r="F26" i="2" s="1"/>
  <c r="G19" i="2"/>
  <c r="G20" i="2" s="1"/>
  <c r="F19" i="2"/>
  <c r="F20" i="2" s="1"/>
  <c r="G15" i="2"/>
  <c r="G16" i="2" s="1"/>
  <c r="F15" i="2"/>
  <c r="F16" i="2" s="1"/>
  <c r="G11" i="2"/>
  <c r="G12" i="2" s="1"/>
  <c r="F11" i="2"/>
  <c r="F12" i="2" s="1"/>
  <c r="AC123" i="2" l="1"/>
  <c r="AC116" i="2"/>
  <c r="AC107" i="2"/>
  <c r="AC92" i="2"/>
  <c r="AC54" i="2"/>
  <c r="AC53" i="2"/>
  <c r="AC48" i="2"/>
  <c r="AC43" i="2"/>
  <c r="AC26" i="2"/>
  <c r="AE81" i="2" l="1"/>
  <c r="AD81" i="2"/>
  <c r="AE76" i="2"/>
  <c r="AD76" i="2"/>
  <c r="AE73" i="2"/>
  <c r="AD73" i="2"/>
  <c r="AD57" i="2"/>
  <c r="AD47" i="2"/>
  <c r="AD52" i="2"/>
  <c r="P57" i="2"/>
  <c r="Q57" i="2" s="1"/>
  <c r="P52" i="2"/>
  <c r="Q52" i="2" s="1"/>
  <c r="Q47" i="2"/>
  <c r="K69" i="2"/>
  <c r="L91" i="2"/>
  <c r="L90" i="2" s="1"/>
  <c r="J105" i="2"/>
  <c r="J90" i="2"/>
  <c r="Z122" i="2" l="1"/>
  <c r="AA122" i="2" s="1"/>
  <c r="U82" i="2"/>
  <c r="M72" i="2"/>
  <c r="L72" i="2"/>
  <c r="AA121" i="2" l="1"/>
  <c r="AC122" i="2"/>
  <c r="AB122" i="2"/>
  <c r="AB121" i="2" s="1"/>
  <c r="Z112" i="2"/>
  <c r="Z108" i="2"/>
  <c r="R116" i="2"/>
  <c r="Q116" i="2" s="1"/>
  <c r="R115" i="2"/>
  <c r="U114" i="2"/>
  <c r="Z114" i="2" s="1"/>
  <c r="AA114" i="2" s="1"/>
  <c r="AC114" i="2" s="1"/>
  <c r="U110" i="2"/>
  <c r="AA120" i="2"/>
  <c r="V120" i="2"/>
  <c r="U120" i="2"/>
  <c r="AA119" i="2"/>
  <c r="AC119" i="2" s="1"/>
  <c r="V119" i="2"/>
  <c r="U119" i="2"/>
  <c r="AA118" i="2"/>
  <c r="V118" i="2"/>
  <c r="U118" i="2"/>
  <c r="AA117" i="2"/>
  <c r="V117" i="2"/>
  <c r="U117" i="2"/>
  <c r="S74" i="2"/>
  <c r="V74" i="2" s="1"/>
  <c r="U74" i="2"/>
  <c r="U75" i="2"/>
  <c r="S77" i="2"/>
  <c r="U77" i="2"/>
  <c r="S82" i="2"/>
  <c r="V82" i="2" s="1"/>
  <c r="Z82" i="2"/>
  <c r="AA82" i="2" s="1"/>
  <c r="S75" i="2"/>
  <c r="V75" i="2" s="1"/>
  <c r="U78" i="2"/>
  <c r="U83" i="2"/>
  <c r="Z83" i="2" s="1"/>
  <c r="AA83" i="2" s="1"/>
  <c r="J123" i="2"/>
  <c r="L107" i="2"/>
  <c r="M107" i="2"/>
  <c r="AA126" i="2"/>
  <c r="AC126" i="2" s="1"/>
  <c r="AA125" i="2"/>
  <c r="AC125" i="2" s="1"/>
  <c r="AA124" i="2"/>
  <c r="AC124" i="2" s="1"/>
  <c r="AA115" i="2"/>
  <c r="AC115" i="2" s="1"/>
  <c r="S114" i="2"/>
  <c r="AA113" i="2"/>
  <c r="Q112" i="2"/>
  <c r="AA111" i="2"/>
  <c r="AC111" i="2" s="1"/>
  <c r="M111" i="2"/>
  <c r="L111" i="2"/>
  <c r="R111" i="2" s="1"/>
  <c r="AA110" i="2"/>
  <c r="S110" i="2"/>
  <c r="AA109" i="2"/>
  <c r="AC109" i="2" s="1"/>
  <c r="Q108" i="2"/>
  <c r="P108" i="2"/>
  <c r="AB107" i="2"/>
  <c r="AA102" i="2"/>
  <c r="AC102" i="2" s="1"/>
  <c r="AA101" i="2"/>
  <c r="AC101" i="2" s="1"/>
  <c r="AA100" i="2"/>
  <c r="AA94" i="2"/>
  <c r="AC94" i="2" s="1"/>
  <c r="Z99" i="2"/>
  <c r="AA99" i="2" s="1"/>
  <c r="Z97" i="2"/>
  <c r="AA97" i="2" s="1"/>
  <c r="Z94" i="2"/>
  <c r="Z93" i="2" s="1"/>
  <c r="Z91" i="2" s="1"/>
  <c r="Z90" i="2" s="1"/>
  <c r="U100" i="2"/>
  <c r="J92" i="2"/>
  <c r="R91" i="2"/>
  <c r="R90" i="2" s="1"/>
  <c r="M91" i="2"/>
  <c r="M90" i="2" s="1"/>
  <c r="Z52" i="2"/>
  <c r="Z47" i="2"/>
  <c r="Z42" i="2"/>
  <c r="Z36" i="2"/>
  <c r="Z32" i="2"/>
  <c r="Z28" i="2"/>
  <c r="Z24" i="2"/>
  <c r="Z10" i="2"/>
  <c r="V61" i="2"/>
  <c r="U55" i="2"/>
  <c r="S66" i="2"/>
  <c r="V66" i="2" s="1"/>
  <c r="Z54" i="2"/>
  <c r="AA64" i="2"/>
  <c r="AC64" i="2" s="1"/>
  <c r="L51" i="2"/>
  <c r="R51" i="2" s="1"/>
  <c r="Q51" i="2" s="1"/>
  <c r="AB54" i="2"/>
  <c r="AA67" i="2"/>
  <c r="AC67" i="2" s="1"/>
  <c r="AA68" i="2"/>
  <c r="AC68" i="2" s="1"/>
  <c r="L41" i="2"/>
  <c r="M41" i="2"/>
  <c r="AB26" i="2"/>
  <c r="AA61" i="2"/>
  <c r="AC61" i="2" s="1"/>
  <c r="AA44" i="2"/>
  <c r="AA78" i="2"/>
  <c r="AA75" i="2"/>
  <c r="AA74" i="2"/>
  <c r="Z78" i="2"/>
  <c r="Z71" i="2" s="1"/>
  <c r="Z70" i="2" s="1"/>
  <c r="Z22" i="2"/>
  <c r="Z8" i="2"/>
  <c r="M80" i="2"/>
  <c r="R72" i="2"/>
  <c r="R84" i="2"/>
  <c r="Q73" i="2"/>
  <c r="J70" i="2"/>
  <c r="J69" i="2" s="1"/>
  <c r="R85" i="2"/>
  <c r="V83" i="2"/>
  <c r="Q81" i="2"/>
  <c r="L80" i="2"/>
  <c r="R80" i="2" s="1"/>
  <c r="S78" i="2"/>
  <c r="V78" i="2" s="1"/>
  <c r="P76" i="2"/>
  <c r="P73" i="2"/>
  <c r="AC78" i="2" l="1"/>
  <c r="AC82" i="2"/>
  <c r="AB120" i="2"/>
  <c r="AC120" i="2"/>
  <c r="AC74" i="2"/>
  <c r="AA96" i="2"/>
  <c r="AC97" i="2"/>
  <c r="AC96" i="2" s="1"/>
  <c r="AA112" i="2"/>
  <c r="AC113" i="2"/>
  <c r="AB118" i="2"/>
  <c r="AC118" i="2"/>
  <c r="AC75" i="2"/>
  <c r="AA98" i="2"/>
  <c r="AC99" i="2"/>
  <c r="AC83" i="2"/>
  <c r="AB117" i="2"/>
  <c r="AC117" i="2"/>
  <c r="AB100" i="2"/>
  <c r="AC100" i="2"/>
  <c r="AC110" i="2"/>
  <c r="AA81" i="2"/>
  <c r="AA108" i="2"/>
  <c r="AC121" i="2"/>
  <c r="AB113" i="2"/>
  <c r="L106" i="2"/>
  <c r="Q115" i="2"/>
  <c r="Z106" i="2"/>
  <c r="Z105" i="2" s="1"/>
  <c r="Z69" i="2" s="1"/>
  <c r="Q84" i="2"/>
  <c r="Q85" i="2"/>
  <c r="Q76" i="2"/>
  <c r="Q72" i="2"/>
  <c r="R107" i="2"/>
  <c r="AB119" i="2"/>
  <c r="M106" i="2"/>
  <c r="M105" i="2" s="1"/>
  <c r="S79" i="2"/>
  <c r="Z79" i="2"/>
  <c r="AA79" i="2" s="1"/>
  <c r="AB126" i="2"/>
  <c r="AB125" i="2"/>
  <c r="AB124" i="2"/>
  <c r="AB115" i="2"/>
  <c r="AB110" i="2"/>
  <c r="Z95" i="2"/>
  <c r="AA95" i="2" s="1"/>
  <c r="V110" i="2"/>
  <c r="Q111" i="2"/>
  <c r="V114" i="2"/>
  <c r="AB109" i="2"/>
  <c r="AB111" i="2"/>
  <c r="AB114" i="2"/>
  <c r="AB97" i="2"/>
  <c r="AB96" i="2" s="1"/>
  <c r="AB99" i="2"/>
  <c r="AB98" i="2" s="1"/>
  <c r="AB101" i="2"/>
  <c r="AB94" i="2"/>
  <c r="AB102" i="2"/>
  <c r="AB67" i="2"/>
  <c r="AB61" i="2"/>
  <c r="AB83" i="2"/>
  <c r="R41" i="2"/>
  <c r="AB64" i="2"/>
  <c r="AB68" i="2"/>
  <c r="M71" i="2"/>
  <c r="M70" i="2" s="1"/>
  <c r="M69" i="2" s="1"/>
  <c r="AB82" i="2"/>
  <c r="AB75" i="2"/>
  <c r="AB44" i="2"/>
  <c r="AB42" i="2" s="1"/>
  <c r="AB78" i="2"/>
  <c r="AB74" i="2"/>
  <c r="L71" i="2"/>
  <c r="V77" i="2"/>
  <c r="AA73" i="2"/>
  <c r="Q80" i="2"/>
  <c r="V64" i="2"/>
  <c r="M51" i="2"/>
  <c r="M46" i="2"/>
  <c r="M9" i="2"/>
  <c r="M13" i="2"/>
  <c r="M17" i="2"/>
  <c r="M23" i="2"/>
  <c r="M27" i="2"/>
  <c r="M31" i="2"/>
  <c r="M35" i="2"/>
  <c r="S63" i="2"/>
  <c r="V63" i="2" s="1"/>
  <c r="AA62" i="2"/>
  <c r="AC62" i="2" s="1"/>
  <c r="V62" i="2"/>
  <c r="V65" i="2"/>
  <c r="U58" i="2"/>
  <c r="Z58" i="2" s="1"/>
  <c r="AA58" i="2" s="1"/>
  <c r="U59" i="2"/>
  <c r="Z59" i="2" s="1"/>
  <c r="AA59" i="2" s="1"/>
  <c r="U56" i="2"/>
  <c r="Z56" i="2" s="1"/>
  <c r="AA56" i="2" s="1"/>
  <c r="Z55" i="2"/>
  <c r="AA55" i="2" s="1"/>
  <c r="U50" i="2"/>
  <c r="Z50" i="2" s="1"/>
  <c r="AA50" i="2" s="1"/>
  <c r="U49" i="2"/>
  <c r="Z49" i="2" s="1"/>
  <c r="AA49" i="2" s="1"/>
  <c r="U45" i="2"/>
  <c r="S59" i="2"/>
  <c r="V59" i="2" s="1"/>
  <c r="S58" i="2"/>
  <c r="V58" i="2" s="1"/>
  <c r="U61" i="2"/>
  <c r="U65" i="2"/>
  <c r="U64" i="2"/>
  <c r="U62" i="2"/>
  <c r="R60" i="2"/>
  <c r="S56" i="2"/>
  <c r="V56" i="2" s="1"/>
  <c r="S55" i="2"/>
  <c r="V55" i="2" s="1"/>
  <c r="S50" i="2"/>
  <c r="V50" i="2" s="1"/>
  <c r="S49" i="2"/>
  <c r="V49" i="2" s="1"/>
  <c r="L46" i="2"/>
  <c r="R46" i="2" s="1"/>
  <c r="AA45" i="2"/>
  <c r="S45" i="2"/>
  <c r="V45" i="2" s="1"/>
  <c r="S44" i="2"/>
  <c r="AC44" i="2" s="1"/>
  <c r="P42" i="2"/>
  <c r="AA12" i="2"/>
  <c r="AA11" i="2"/>
  <c r="AA25" i="2"/>
  <c r="AA30" i="2"/>
  <c r="AA29" i="2"/>
  <c r="AA34" i="2"/>
  <c r="AA33" i="2"/>
  <c r="AA37" i="2"/>
  <c r="U37" i="2"/>
  <c r="Z39" i="2" s="1"/>
  <c r="AA39" i="2" s="1"/>
  <c r="S37" i="2"/>
  <c r="V37" i="2" s="1"/>
  <c r="L35" i="2"/>
  <c r="R35" i="2" s="1"/>
  <c r="K22" i="2"/>
  <c r="J22" i="2"/>
  <c r="J7" i="2" s="1"/>
  <c r="J6" i="2" s="1"/>
  <c r="J5" i="2" s="1"/>
  <c r="S29" i="2"/>
  <c r="S30" i="2" s="1"/>
  <c r="V30" i="2" s="1"/>
  <c r="S33" i="2"/>
  <c r="S34" i="2" s="1"/>
  <c r="V34" i="2" s="1"/>
  <c r="S25" i="2"/>
  <c r="V25" i="2" s="1"/>
  <c r="U33" i="2"/>
  <c r="U29" i="2"/>
  <c r="U25" i="2"/>
  <c r="L31" i="2"/>
  <c r="R31" i="2" s="1"/>
  <c r="Q28" i="2"/>
  <c r="L27" i="2"/>
  <c r="R27" i="2" s="1"/>
  <c r="P24" i="2"/>
  <c r="L23" i="2"/>
  <c r="R23" i="2" s="1"/>
  <c r="L13" i="2"/>
  <c r="R13" i="2" s="1"/>
  <c r="L9" i="2"/>
  <c r="R9" i="2" s="1"/>
  <c r="Q9" i="2" s="1"/>
  <c r="L17" i="2"/>
  <c r="R17" i="2" s="1"/>
  <c r="S20" i="2"/>
  <c r="V20" i="2" s="1"/>
  <c r="S19" i="2"/>
  <c r="V19" i="2" s="1"/>
  <c r="S16" i="2"/>
  <c r="V16" i="2" s="1"/>
  <c r="V15" i="2"/>
  <c r="V12" i="2"/>
  <c r="AB39" i="2" l="1"/>
  <c r="AA36" i="2"/>
  <c r="AC11" i="2"/>
  <c r="AB79" i="2"/>
  <c r="AB76" i="2" s="1"/>
  <c r="AC79" i="2"/>
  <c r="AA93" i="2"/>
  <c r="AA91" i="2" s="1"/>
  <c r="AA90" i="2" s="1"/>
  <c r="AC95" i="2"/>
  <c r="AC93" i="2" s="1"/>
  <c r="AA106" i="2"/>
  <c r="AA105" i="2" s="1"/>
  <c r="AC50" i="2"/>
  <c r="AC58" i="2"/>
  <c r="AC25" i="2"/>
  <c r="AC55" i="2"/>
  <c r="AC34" i="2"/>
  <c r="AC56" i="2"/>
  <c r="AC29" i="2"/>
  <c r="AC12" i="2"/>
  <c r="AC49" i="2"/>
  <c r="AC59" i="2"/>
  <c r="AC33" i="2"/>
  <c r="AC37" i="2"/>
  <c r="AC30" i="2"/>
  <c r="AA42" i="2"/>
  <c r="AC45" i="2"/>
  <c r="AB73" i="2"/>
  <c r="AA52" i="2"/>
  <c r="AB81" i="2"/>
  <c r="AB11" i="2"/>
  <c r="AB12" i="2"/>
  <c r="AC108" i="2"/>
  <c r="R106" i="2"/>
  <c r="R105" i="2" s="1"/>
  <c r="L105" i="2"/>
  <c r="AB112" i="2"/>
  <c r="AC112" i="2"/>
  <c r="AA10" i="2"/>
  <c r="AB108" i="2"/>
  <c r="M40" i="2"/>
  <c r="Q107" i="2"/>
  <c r="Q27" i="2"/>
  <c r="Q23" i="2"/>
  <c r="Q31" i="2"/>
  <c r="Q24" i="2"/>
  <c r="Q35" i="2"/>
  <c r="Q42" i="2"/>
  <c r="Q46" i="2"/>
  <c r="Q41" i="2"/>
  <c r="Q60" i="2"/>
  <c r="AB95" i="2"/>
  <c r="AB93" i="2" s="1"/>
  <c r="AB91" i="2" s="1"/>
  <c r="AB90" i="2" s="1"/>
  <c r="AC98" i="2"/>
  <c r="M8" i="2"/>
  <c r="L70" i="2"/>
  <c r="AB29" i="2"/>
  <c r="AB37" i="2"/>
  <c r="AA63" i="2"/>
  <c r="Z63" i="2"/>
  <c r="Z67" i="2" s="1"/>
  <c r="Z40" i="2" s="1"/>
  <c r="AB33" i="2"/>
  <c r="AB25" i="2"/>
  <c r="AB24" i="2" s="1"/>
  <c r="AA57" i="2"/>
  <c r="AB30" i="2"/>
  <c r="AB34" i="2"/>
  <c r="AA65" i="2"/>
  <c r="Z66" i="2"/>
  <c r="AA66" i="2" s="1"/>
  <c r="AC66" i="2" s="1"/>
  <c r="AB56" i="2"/>
  <c r="AB45" i="2"/>
  <c r="AB59" i="2"/>
  <c r="AB62" i="2"/>
  <c r="L40" i="2"/>
  <c r="AB50" i="2"/>
  <c r="V44" i="2"/>
  <c r="AA76" i="2"/>
  <c r="AB58" i="2"/>
  <c r="AB49" i="2"/>
  <c r="AA47" i="2"/>
  <c r="AB55" i="2"/>
  <c r="R71" i="2"/>
  <c r="M22" i="2"/>
  <c r="AA24" i="2"/>
  <c r="AA32" i="2"/>
  <c r="S38" i="2"/>
  <c r="S39" i="2" s="1"/>
  <c r="V39" i="2" s="1"/>
  <c r="V29" i="2"/>
  <c r="AA28" i="2"/>
  <c r="V33" i="2"/>
  <c r="V11" i="2"/>
  <c r="L22" i="2"/>
  <c r="L8" i="2"/>
  <c r="U19" i="2"/>
  <c r="U20" i="2"/>
  <c r="Z20" i="2" s="1"/>
  <c r="AA20" i="2" s="1"/>
  <c r="AC20" i="2" s="1"/>
  <c r="AC39" i="2" l="1"/>
  <c r="AC38" i="2"/>
  <c r="AB63" i="2"/>
  <c r="AC63" i="2"/>
  <c r="AB65" i="2"/>
  <c r="AC65" i="2"/>
  <c r="AB57" i="2"/>
  <c r="AB52" i="2"/>
  <c r="AC47" i="2"/>
  <c r="AC76" i="2"/>
  <c r="AC73" i="2"/>
  <c r="AC57" i="2"/>
  <c r="AB47" i="2"/>
  <c r="AC52" i="2"/>
  <c r="AC81" i="2"/>
  <c r="AB20" i="2"/>
  <c r="AC24" i="2"/>
  <c r="AC10" i="2"/>
  <c r="AB10" i="2"/>
  <c r="AC106" i="2"/>
  <c r="AC105" i="2" s="1"/>
  <c r="AC91" i="2"/>
  <c r="AC90" i="2" s="1"/>
  <c r="AB71" i="2"/>
  <c r="AB70" i="2" s="1"/>
  <c r="L69" i="2"/>
  <c r="AB106" i="2"/>
  <c r="AB105" i="2" s="1"/>
  <c r="AC32" i="2"/>
  <c r="AA40" i="2"/>
  <c r="AC28" i="2"/>
  <c r="AB28" i="2"/>
  <c r="AC42" i="2"/>
  <c r="AA71" i="2"/>
  <c r="R70" i="2"/>
  <c r="AB32" i="2"/>
  <c r="AB66" i="2"/>
  <c r="AB38" i="2"/>
  <c r="AB36" i="2" s="1"/>
  <c r="R22" i="2"/>
  <c r="R40" i="2"/>
  <c r="L7" i="2"/>
  <c r="L6" i="2" s="1"/>
  <c r="M7" i="2"/>
  <c r="M6" i="2" s="1"/>
  <c r="M5" i="2" s="1"/>
  <c r="AA22" i="2"/>
  <c r="Z19" i="2"/>
  <c r="AA19" i="2" s="1"/>
  <c r="AC19" i="2" s="1"/>
  <c r="V38" i="2"/>
  <c r="R21" i="2"/>
  <c r="Q17" i="2"/>
  <c r="U16" i="2"/>
  <c r="Z16" i="2" s="1"/>
  <c r="AA16" i="2" s="1"/>
  <c r="AC16" i="2" s="1"/>
  <c r="U15" i="2"/>
  <c r="Z15" i="2" s="1"/>
  <c r="AA15" i="2" s="1"/>
  <c r="AC15" i="2" s="1"/>
  <c r="Q13" i="2"/>
  <c r="AC36" i="2" l="1"/>
  <c r="AC22" i="2" s="1"/>
  <c r="AB22" i="2"/>
  <c r="AB15" i="2"/>
  <c r="AB16" i="2"/>
  <c r="AB19" i="2"/>
  <c r="AB18" i="2" s="1"/>
  <c r="AC18" i="2"/>
  <c r="AB69" i="2"/>
  <c r="L5" i="2"/>
  <c r="R69" i="2"/>
  <c r="AC71" i="2"/>
  <c r="AC70" i="2" s="1"/>
  <c r="AC69" i="2" s="1"/>
  <c r="AB40" i="2"/>
  <c r="AC40" i="2"/>
  <c r="AA70" i="2"/>
  <c r="AA69" i="2" s="1"/>
  <c r="Q21" i="2"/>
  <c r="AA18" i="2"/>
  <c r="AA14" i="2"/>
  <c r="Z7" i="2"/>
  <c r="Z6" i="2" s="1"/>
  <c r="Z5" i="2" s="1"/>
  <c r="R8" i="2"/>
  <c r="AC14" i="2" l="1"/>
  <c r="AC8" i="2" s="1"/>
  <c r="AC7" i="2" s="1"/>
  <c r="AC6" i="2" s="1"/>
  <c r="AC5" i="2" s="1"/>
  <c r="AB14" i="2"/>
  <c r="AB8" i="2" s="1"/>
  <c r="AB7" i="2" s="1"/>
  <c r="AB6" i="2" s="1"/>
  <c r="AB5" i="2" s="1"/>
  <c r="R7" i="2"/>
  <c r="AA8" i="2"/>
  <c r="AA7" i="2" l="1"/>
  <c r="R6" i="2"/>
  <c r="R5" i="2" s="1"/>
  <c r="AA6" i="2" l="1"/>
  <c r="AA5" i="2" s="1"/>
</calcChain>
</file>

<file path=xl/comments1.xml><?xml version="1.0" encoding="utf-8"?>
<comments xmlns="http://schemas.openxmlformats.org/spreadsheetml/2006/main">
  <authors>
    <author>zhukovski</author>
    <author>96</author>
  </authors>
  <commentList>
    <comment ref="E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в данной графе:
1) под строкой с договором - "ТКП №"+соотв.номер ТКП
2) после всех ТКП - строки с авансовыми ФКП - "авансовый ФКП №"+соотв.номер ФКП
3) после перечисления ТКП и авансовых ФКП:
в данной графе появляются надписи с соответствующими строками:
-"не определено ТКП"
-"всего не определено ТКП"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если по Акту/ТТН есть бух.проводки, то ставим напротив Акта/ТТН "1"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1.1) создаются строки под каждым АКТОМ/ТТН, в которых перечисляются сроки оплат, расчитанные из фактических отгрузок и ФКП, относящихся к данному ТКП
1.2) если плановая сумма оплачена не полностью (не распределены платежи), то добавляется строка с соответствующей расчетной датой)
2.1) заполняются ячейки напротив каждого авансового ФКП, в которых перечисляются сроки оплат
2.2) если плановая сумма оплачена не полностью (не распределены платежи), то добавляется строка с соответствующей расчетной датой)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Дополнительная информация 
в каждой строке под АКТОМ/ТТН заполняем:
1.1) из ФКП - по платежам "по факту"(если это поле заполнено)
1.2) пометка "аванс" по авансовым ФКП 
1.3) иначе не заполняем
В данной графе появляются надписи и добавляются соответствующие строки:
-"не распределен аванс"
-"не распределены платежи";
-"не определено ФКП"
-"всего не определено ФКП"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1) создаются строки под каждым АКТОМ/ТТН, в которых перечисляются суммы оплат, расчитанные из фактических отгрузок и условий ФКП, относящихся к данному ТКП
2) если плановая сумма оплачена не полностью (не распределены платежи), то добавляется строка с соответствующей расчетной не доплаченной суммой)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в строках под АКТами/ТТН добавляются строки для отображения:
1) зачтенных сумм авансов и распределенным по ним платежкам;
2) платежкам, распределенным по Актам/ТТН в соответствии с ФКП по фактическим отгрузкам
3) добавляются в соответствующих местах графы "нет оплаты"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наименование расчетного счета по каждому платежному поручению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дата оплаты платежного поручения/дата бухсправки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отображаются суммы по платежным поручениям, бухсправкам, а также не оплаченные расчетные суммы 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расчитывается по каждой не оплаченной сумме и отображается задолженность:
если дата формирования отчета больше либо равна срока платежа</t>
        </r>
      </text>
    </comment>
    <comment ref="AD4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ФИО ответственного из договора</t>
        </r>
      </text>
    </comment>
    <comment ref="AE4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напротив строк с платежным поручением и бухсправкой:
Напротив платежных поручений - текст "Назначение платежа из платежки"
напротив бухсправки - текст из поля "содержание проведенной операции"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вида договора в 1-й строке - шрифт полужирный, цвет черный.
2-я и последующие строки, относящиеся к данному виду договоров - шрифт обычный, цвет светло-серый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контрагента 
1-я строка: жирным шрифтом, 
2-я и остальные строки ниже (до следующего контрагента) повторяем контрагента шрифт обычный, цвет светло-серый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по договору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Z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AA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AB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AC7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контрагента:
сумма договоров контрагента</t>
        </r>
      </text>
    </comment>
    <comment ref="B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с договором:
указываем статус договора в 1-й строке - шрифт полужирный, цвет черный.
2-я и последующие строки, относящиеся к данному договору - шрифт обычный, цвет светло-серый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1-я строка слово "договор №" + № договора(внешний) + Предмет договора,
2-я и следующие строки ниже (до следующего договора) повторяем запись с №договора, штрифт обычный, цвет - светло-серый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дата договора (внешняя)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из договора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ТКП договора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бюджетного источника из договора (Схема платежей)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ТКП договора + отгрузки по не привязанным актам/ТТН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ТКП договора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% из спецификации договора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плановая сумма отгрузок минус фактическая</t>
        </r>
      </text>
    </comment>
    <comment ref="Z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АКТ/ТТН договора + не распределенные платежи</t>
        </r>
      </text>
    </comment>
    <comment ref="AA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АКТ/ТТН договора и авансовые ФКП + задолженность по не привязанным актам/ТТН</t>
        </r>
      </text>
    </comment>
    <comment ref="AB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АКТ/ТТН договора и авансовые ФКП + задолженность по не привязанным актам/ТТН</t>
        </r>
      </text>
    </comment>
    <comment ref="AC8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договор:
сумма по строкам АКТ/ТТН договора и авансовые ФКП + задолженность по не привязанным актам/ТТН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1) "ТКП №" + номер ТКП,
"авансовый ФКП №" + 2) номер авансового ФКП
1-я строка: обычным шрифтом, 
2-я и остальные строки ниже (по всем строкам относящимся к данному ТКП/ФКП) повторяем контрагента шрифт обычный, цвет светло-серый
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дата ТКП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сумма ТКП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96:
</t>
        </r>
        <r>
          <rPr>
            <sz val="9"/>
            <color indexed="81"/>
            <rFont val="Tahoma"/>
            <family val="2"/>
            <charset val="204"/>
          </rPr>
          <t>в строке ТКП:
1) из внешнего атрибута ТКП, 
2) если вн.атрибут ТКП не заполнен, то сумма бюджетных средств пропорционально сумме ТКП, определенной договором (схемой платежей)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ТКП: 
сумма по актам/ТТН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ТКП: 
сумма по актам/ТТН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конечный срок из ТКП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  <charset val="204"/>
          </rPr>
          <t>zhukovski:</t>
        </r>
        <r>
          <rPr>
            <sz val="9"/>
            <color indexed="81"/>
            <rFont val="Tahoma"/>
            <family val="2"/>
            <charset val="204"/>
          </rPr>
          <t xml:space="preserve">
если фактическая отгрузка по ТКП меньше плановой отгрузки, то расчитываем дни просрочки:
дата формирования отчета минус плановый срок отгрузки по ТКП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"АКТ №"("ТТН №") + номер акта (ТТН)
1-я строка: обычным шрифтом, 
2-я и остальные строки ниже (по всем строкам относящимся к данной отгрузке) повторяем контрагента шрифт обычный, цвет светло-серый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дата акта/ТТН
1-я строка: обычным шрифтом, 
2-я и остальные строки ниже (по всем строкам относящимся к данной отгрузке) повторяем контрагента шрифт обычный, цвет светло-серый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внешний аттрибут акта/ТТН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бюджетные средства в акте/ТТН (внешний атрибут)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фактическая сумма акта/ТТН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АКТ/ТТН:
% из документа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срок из ТКП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просрочка по текущему акту/ТТН от срока ТКП в днях
Если заполнено поле "дата подписания документа, то срок отсчитывается от этой даты</t>
        </r>
      </text>
    </comment>
    <comment ref="Z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АКТ/ТТН:
сумма распределенных платежей на АКТ/ТТН</t>
        </r>
      </text>
    </comment>
    <comment ref="AA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АКТ/ТТН:
сумма по строкам расчетной задолженности по АКТ/ТТН</t>
        </r>
      </text>
    </comment>
    <comment ref="AB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АКТ/ТТН:
сумма по строкам расчетной задолженности по АКТ/ТТН</t>
        </r>
      </text>
    </comment>
    <comment ref="AC1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в строке АКТ/ТТН:
сумма по строкам расчетной задолженности по АКТ/ТТН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если есть другие ТКП, то данная строка появляется в конце под имеющимися ТКП</t>
        </r>
      </text>
    </comment>
    <comment ref="J92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сумма, на которую нет ТКП (не созданы, либо превышает сумму договора, тогда с "-")</t>
        </r>
      </text>
    </comment>
    <comment ref="U100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сумма, на которую нет ФКП (не созданы, либо превышает сумму договора, тогда с "-")</t>
        </r>
      </text>
    </comment>
    <comment ref="E123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если есть другие ТКП, то данная строка появляется в конце под имеющимися ТКП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сумма, на которую нет ТКП (не созданы, либо превышает сумму договора, тогда с "-")</t>
        </r>
      </text>
    </comment>
    <comment ref="U124" authorId="1" shapeId="0">
      <text>
        <r>
          <rPr>
            <b/>
            <sz val="9"/>
            <color indexed="81"/>
            <rFont val="Tahoma"/>
            <family val="2"/>
            <charset val="204"/>
          </rPr>
          <t>96:</t>
        </r>
        <r>
          <rPr>
            <sz val="9"/>
            <color indexed="81"/>
            <rFont val="Tahoma"/>
            <family val="2"/>
            <charset val="204"/>
          </rPr>
          <t xml:space="preserve">
сумма, на которую нет ФКП (не созданы, либо превышает сумму договора, тогда с "-")</t>
        </r>
      </text>
    </comment>
  </commentList>
</comments>
</file>

<file path=xl/sharedStrings.xml><?xml version="1.0" encoding="utf-8"?>
<sst xmlns="http://schemas.openxmlformats.org/spreadsheetml/2006/main" count="606" uniqueCount="166">
  <si>
    <t>Контрагент</t>
  </si>
  <si>
    <t>Вид дог.</t>
  </si>
  <si>
    <t>Статус</t>
  </si>
  <si>
    <t>Закупка</t>
  </si>
  <si>
    <t>исп.</t>
  </si>
  <si>
    <t>Дата документа</t>
  </si>
  <si>
    <t>Текущая задолженность по отгрузке</t>
  </si>
  <si>
    <t>Текущая задолженность по оплате</t>
  </si>
  <si>
    <t>Кол-во дней просрочки отгрузки</t>
  </si>
  <si>
    <t>ТТН/Акт</t>
  </si>
  <si>
    <t>Платежный документ/Бухсправка</t>
  </si>
  <si>
    <t>ТКП №1</t>
  </si>
  <si>
    <t>ТКП №2</t>
  </si>
  <si>
    <t>ТКП №3</t>
  </si>
  <si>
    <t>ТКП №4</t>
  </si>
  <si>
    <t>ТТН №5</t>
  </si>
  <si>
    <t>ТТН №7</t>
  </si>
  <si>
    <t>ТТН №9</t>
  </si>
  <si>
    <t>Валюта договора</t>
  </si>
  <si>
    <t>BYN</t>
  </si>
  <si>
    <t>пп.№1001</t>
  </si>
  <si>
    <t>пп.№1002</t>
  </si>
  <si>
    <t>Источник платежа</t>
  </si>
  <si>
    <t>расчетный счет</t>
  </si>
  <si>
    <t>Дата платежного документа, бухсправки</t>
  </si>
  <si>
    <t>Количество дней просрочи по оплате</t>
  </si>
  <si>
    <t>Сумма платежей по документу (факт)</t>
  </si>
  <si>
    <t>Плановый срок отгрузки</t>
  </si>
  <si>
    <t>Ответственный по договору</t>
  </si>
  <si>
    <t>на 11д</t>
  </si>
  <si>
    <t>на 31д</t>
  </si>
  <si>
    <t>Плановая сумма отгрузок по ТКП</t>
  </si>
  <si>
    <t>ФАКТИЧКЕСКАЯ сумма отгрузок по документу</t>
  </si>
  <si>
    <t>Ставка НДС в документах</t>
  </si>
  <si>
    <t>Фильтры: …</t>
  </si>
  <si>
    <t>ОАО "Минсктелекомстрой"</t>
  </si>
  <si>
    <t>договор №8 УД Омговичи … р-на</t>
  </si>
  <si>
    <t>АКТ №1</t>
  </si>
  <si>
    <t>АКТ №2</t>
  </si>
  <si>
    <t>АКТ №3</t>
  </si>
  <si>
    <t>пп.№5001</t>
  </si>
  <si>
    <t>пп.№5002</t>
  </si>
  <si>
    <t>пп.№1003</t>
  </si>
  <si>
    <t>АКТ №4</t>
  </si>
  <si>
    <t>нет оплаты</t>
  </si>
  <si>
    <t>Тамело</t>
  </si>
  <si>
    <t>Кожемяко</t>
  </si>
  <si>
    <t>Строительство</t>
  </si>
  <si>
    <t>Емельяненко</t>
  </si>
  <si>
    <t>аванс</t>
  </si>
  <si>
    <t>ТТН №28818</t>
  </si>
  <si>
    <t>В договорах СМР привязку акта делаем к 1 ТКП (подходящему по временному интервалу)</t>
  </si>
  <si>
    <t>Кревский</t>
  </si>
  <si>
    <t xml:space="preserve">РУП "Белтелеком" </t>
  </si>
  <si>
    <t>договор №58, кабельная продукция(Беларускабель)</t>
  </si>
  <si>
    <t>в т.ч.текущая задолженность по оплате АВАНСОВ</t>
  </si>
  <si>
    <t>ТКП, 
авансовые ФКП</t>
  </si>
  <si>
    <t>авансовый ФКП №1</t>
  </si>
  <si>
    <t>авансовый ФКП №2</t>
  </si>
  <si>
    <t>авансовый ФКП №3</t>
  </si>
  <si>
    <t>авансовый ФКП №4</t>
  </si>
  <si>
    <t>не распределены платежи</t>
  </si>
  <si>
    <t>не распределен аванс</t>
  </si>
  <si>
    <t>пп.№2000</t>
  </si>
  <si>
    <t>пп.№2002</t>
  </si>
  <si>
    <t>пп.№2003</t>
  </si>
  <si>
    <t>пп.№2004</t>
  </si>
  <si>
    <r>
      <t xml:space="preserve">Дата подписания документа 
</t>
    </r>
    <r>
      <rPr>
        <b/>
        <i/>
        <sz val="10"/>
        <color rgb="FFFF0000"/>
        <rFont val="Calibri"/>
        <family val="2"/>
        <charset val="204"/>
        <scheme val="minor"/>
      </rPr>
      <t>(из внешних аттрибутов)</t>
    </r>
  </si>
  <si>
    <r>
      <t xml:space="preserve">Сумма зачтенного аванса в отгрузке 
</t>
    </r>
    <r>
      <rPr>
        <b/>
        <i/>
        <sz val="10"/>
        <color rgb="FFFF0000"/>
        <rFont val="Calibri"/>
        <family val="2"/>
        <charset val="204"/>
        <scheme val="minor"/>
      </rPr>
      <t>(из внешних атрибутов)</t>
    </r>
  </si>
  <si>
    <t>Расчетная дата погашения задолженности по ТТН/акту/авансовому ФКП</t>
  </si>
  <si>
    <t>Расчетная сумма погашения по ТТН/акту/авансовому ФКП</t>
  </si>
  <si>
    <t>Гупалович</t>
  </si>
  <si>
    <t>пп.№8002</t>
  </si>
  <si>
    <t>пп.№8003</t>
  </si>
  <si>
    <t>не определено ТКП</t>
  </si>
  <si>
    <t>не определено ФКП</t>
  </si>
  <si>
    <t>Если в договоре:</t>
  </si>
  <si>
    <t>Тогда отчет по договору выглядит следующим образом:</t>
  </si>
  <si>
    <t>всего не определено ТКП</t>
  </si>
  <si>
    <t>всего не определено ФКП</t>
  </si>
  <si>
    <t>отсутствуют ТКП и/или ФКП(либо их статус не исполняемый), либо ситуация, когда ТКП и/или ФКП превышают/меньше суммы договора</t>
  </si>
  <si>
    <t>ТТН №1</t>
  </si>
  <si>
    <t>ТТН №2</t>
  </si>
  <si>
    <t>пп.№2001</t>
  </si>
  <si>
    <t>Если ТТН/АКТ сделан таким образом, что относится более чем к 1 ТКП, то:</t>
  </si>
  <si>
    <t>В договорах поставки привязку ТТН делаем к 1 ТКП (подходящему по временному интервалу или к тому ТКП, по которому максимален удельный вес отгрузки)</t>
  </si>
  <si>
    <t>Если АКТ/ТТН не "привязан" к ТКП, то в ячейке перед соответствующим актом вставляем надпись "не определено ТКП"</t>
  </si>
  <si>
    <t>Если ТТН/АКТ не привязан к ТКП, то все равно ставим текущую задолженность по оплате - АВТОМАТОМ В ШАБЛОНЕ</t>
  </si>
  <si>
    <t>Доп.инфо</t>
  </si>
  <si>
    <t xml:space="preserve">с суммами денежных средств: </t>
  </si>
  <si>
    <t>Если ТТН/АКТ необходимо ввести, а ТКП закончились (не продлены сроки строительства/поставки допсоглашением), то привязываем к последнему ТКП</t>
  </si>
  <si>
    <t>Если бюджетные средства выделяются не с первого месяца строительства(а также обрывы финансирования с определенного месяца), то по каждому ТКП во внешние атрибуты вписываем сумму бюджетных средств</t>
  </si>
  <si>
    <t>ИТОГО по отчету</t>
  </si>
  <si>
    <t>вся строка отчета с видом договоров(закупка, строительство и проч.) заливается светло-серым цветом</t>
  </si>
  <si>
    <r>
      <t xml:space="preserve">шрифт </t>
    </r>
    <r>
      <rPr>
        <sz val="10"/>
        <color rgb="FFFF0000"/>
        <rFont val="Calibri"/>
        <family val="2"/>
        <charset val="204"/>
        <scheme val="minor"/>
      </rPr>
      <t>красный</t>
    </r>
    <r>
      <rPr>
        <sz val="10"/>
        <color theme="1"/>
        <rFont val="Calibri"/>
        <family val="2"/>
        <charset val="204"/>
        <scheme val="minor"/>
      </rPr>
      <t xml:space="preserve"> в ячейках с информацией:</t>
    </r>
  </si>
  <si>
    <t>с фразами:</t>
  </si>
  <si>
    <t>не распределенные платежные поручения:</t>
  </si>
  <si>
    <t>Договор</t>
  </si>
  <si>
    <t>Группировки строк и столбцов:</t>
  </si>
  <si>
    <t>в т.ч.по строкам:</t>
  </si>
  <si>
    <t>Дата отчета</t>
  </si>
  <si>
    <t>Отчет по исполнению договорных обязательств</t>
  </si>
  <si>
    <t>1-й уровень: расшифровка в разрезе только видов договоров и контрагентов;
2-й уровень: отображение полной информации по договорам</t>
  </si>
  <si>
    <t>с датами: формат "ДД.ММ.ГГГГ"</t>
  </si>
  <si>
    <t>ЗАО "БелтехсвязьдетальМн"</t>
  </si>
  <si>
    <t>ОАО "Промсвязь"</t>
  </si>
  <si>
    <t>договор №18 УД Ходаково … р-на</t>
  </si>
  <si>
    <t>договор №45 Реконструкция СЦ Слуцк</t>
  </si>
  <si>
    <t>договор №112, шкафы ОРШ</t>
  </si>
  <si>
    <t>договор №41, оборудование DSLAM</t>
  </si>
  <si>
    <t>Названия строк</t>
  </si>
  <si>
    <t>Общий итог</t>
  </si>
  <si>
    <t>Названия столбцов</t>
  </si>
  <si>
    <t>сумма по договорам</t>
  </si>
  <si>
    <t>оплачено всего</t>
  </si>
  <si>
    <t>Для формирования отчета по оплатам за неделю и за месяц, ЗАКРЫТЫМИ ДЕЛАЕМ ДОГОВОРЫ РАЗ В МЕСЯЦ</t>
  </si>
  <si>
    <t>в т.ч.по столбцам:</t>
  </si>
  <si>
    <t>группировки граф: 9-11, 14-18, 24-25, 30-32</t>
  </si>
  <si>
    <t>Сумма по полю Текущая задолженность по отгрузке</t>
  </si>
  <si>
    <t>(несколько элементов)</t>
  </si>
  <si>
    <t>&lt;13.01.2017 или (пусто)</t>
  </si>
  <si>
    <r>
      <t xml:space="preserve">2-е и последующие строки, относящиеся к АКТам, ТТН, ТКП, авансовым ФКП, "всего не определено ТКП" повторяем, шрифт обычный, цвет </t>
    </r>
    <r>
      <rPr>
        <sz val="10"/>
        <color theme="0" tint="-0.249977111117893"/>
        <rFont val="Calibri"/>
        <family val="2"/>
        <charset val="204"/>
        <scheme val="minor"/>
      </rPr>
      <t>светло-серый</t>
    </r>
  </si>
  <si>
    <t>ТТН/АКТ привязываем к ТКП, затем создаем ДО (ДО - для распределения платежей)</t>
  </si>
  <si>
    <t>строки "АКТ №…" и "ТТН №…" с графы "ТТН/Акт" по конец строки - заливка ячеек светло голубым цветом</t>
  </si>
  <si>
    <t>в строках под АКТами/ТТН, в которых отображаются распределенные суммы платежных поручений по авансам на АКТ/ТТН, а также по суммам, которые отображены в графе "Сумма зачтенного аванса в отгрузке" , но сумма  не распределена по платежкам полностью, выделяем-заливаем ячейки с графы № 22 по №25 светло-зеленым цветом</t>
  </si>
  <si>
    <t>Форматы ячеек:</t>
  </si>
  <si>
    <t>все ячейки по графам  "Плановый срок отгрузки" и "Расчетная дата погашения задолженности по ТТН/акту/авансовому ФКП" - формат ячеек дата "ДД.ММ.ГГГГ"(необходимо для группировок данных по датам в сводных таблицах)</t>
  </si>
  <si>
    <t>бух.справка№5895</t>
  </si>
  <si>
    <t>Все взаимозачеты оформляем через бухсправки, которые привязываем к соотстветствующему ДО Акта/ТТН</t>
  </si>
  <si>
    <t>Если контрагент перечислил сумму переплаты (возврат по минусовым процентовкам), то ??? Делаем бухсправку без проводок и цепляем к ДО на закупку?</t>
  </si>
  <si>
    <t>Фильтры отчета:</t>
  </si>
  <si>
    <t>по виду договора: закупка, строительство и проч… (можно пометить несколько видов)</t>
  </si>
  <si>
    <t xml:space="preserve">сформировать в валюте договора: </t>
  </si>
  <si>
    <t>ДА, тогда то пересчет: ТТН/акт/платежка - из НДЕ в валюту договора по курсу на дату документа, в графе "Валюта договора" напротив ТТН/актов и остальных документов отображается не "BYN", а выбранная валюта</t>
  </si>
  <si>
    <t>НЕТ (по умолчанию), тогда все суммы отображаются в НДЕ, но в строке договора в графе "Валюта договора" - отображается валюта договора</t>
  </si>
  <si>
    <t>по контрагенту договора  (можно пометить несколько контрагентов)</t>
  </si>
  <si>
    <t>по договору выбранного контрагента  (можно пометить несколько договоров)</t>
  </si>
  <si>
    <t>по статусу договора: исполняемый, закрытый и т.д.  (можно пометить несколько статусов)</t>
  </si>
  <si>
    <t>по типу валюты договора: НДЕ, ВАЛ-НДЕ (можно пометить несколько типов)</t>
  </si>
  <si>
    <t>с "Источник платежа" по "Дата платежного документа, бухсправки"</t>
  </si>
  <si>
    <t>с "Ответственный по договору" по последнюю графу таблицы</t>
  </si>
  <si>
    <t>Наличие проводок по отгрузке</t>
  </si>
  <si>
    <t>в т.ч.просрочка платежа</t>
  </si>
  <si>
    <t>Примечания к проведенным платежным документам и бухсправкам</t>
  </si>
  <si>
    <t>с "Плановая сумма отгрузок по ТКП" по "БЮДЖЕТНЫЕ средства План по договору и ТКП/Фактическая сумма БЮДЖЕТА в отгрузке"</t>
  </si>
  <si>
    <t>с "Плановый срок отгрузки" по "Текущая задолженность по отгрузке"</t>
  </si>
  <si>
    <r>
      <t xml:space="preserve">в графе "Валюта договора" валюты, отличные от BYN - шрифт </t>
    </r>
    <r>
      <rPr>
        <sz val="10"/>
        <color rgb="FFFF0000"/>
        <rFont val="Calibri"/>
        <family val="2"/>
        <charset val="204"/>
        <scheme val="minor"/>
      </rPr>
      <t>красным цветом (USD, EUR…)</t>
    </r>
  </si>
  <si>
    <t xml:space="preserve">При внесении договора: </t>
  </si>
  <si>
    <t>договоры, заключенные РУП "БТК" и оплата осуществляется МФ напрямую поставщику - в предмете договора пишем вначале "тендер РУП", затем кратко предмет договора (кабельная продукция, аккумуляторы, и т.д.)</t>
  </si>
  <si>
    <t>договоры, заключенные РУП "БТК" и оплата осуществляется в адрес РУП "БТК" - в предмете договора пишем вначале поставщика (Беларускабель, Навитера и проч.), затем кратко предмет договора (кабельная продукция, аккумуляторы, и т.д.)</t>
  </si>
  <si>
    <t>в договоре ВСЕГДА используем планы ТКП и ФКП</t>
  </si>
  <si>
    <r>
      <t xml:space="preserve">2 десятичных знака после запятой, разделитель разрядов, ноль отображается как "-", отрицательные числа с минусом перед числом, </t>
    </r>
    <r>
      <rPr>
        <sz val="10"/>
        <color rgb="FFFF0000"/>
        <rFont val="Calibri"/>
        <family val="2"/>
        <charset val="204"/>
        <scheme val="minor"/>
      </rPr>
      <t>цвет шрифта красного цвета</t>
    </r>
  </si>
  <si>
    <t>1 Расчетный счет</t>
  </si>
  <si>
    <t>7 ФОУ Расчеты с подрядчиками</t>
  </si>
  <si>
    <t>Сумма по полю Сумма платежей по документу (факт)</t>
  </si>
  <si>
    <t>(пусто)</t>
  </si>
  <si>
    <t>20.01.2017 - 26.01.2017</t>
  </si>
  <si>
    <t>10.02.2017 - 16.02.2017</t>
  </si>
  <si>
    <t>17.02.2017 - 23.02.2017</t>
  </si>
  <si>
    <t>03.03.2017 - 09.03.2017</t>
  </si>
  <si>
    <t>17.03.2017 - 23.03.2017</t>
  </si>
  <si>
    <t>31.03.2017 - 06.04.2017</t>
  </si>
  <si>
    <t>14.04.2017 - 20.04.2017</t>
  </si>
  <si>
    <t>28.04.2017 - 04.05.2017</t>
  </si>
  <si>
    <t>02.06.2017 - 05.06.2017</t>
  </si>
  <si>
    <r>
      <rPr>
        <b/>
        <sz val="10"/>
        <rFont val="Calibri"/>
        <family val="2"/>
        <charset val="204"/>
        <scheme val="minor"/>
      </rPr>
      <t xml:space="preserve">БЮДЖЕТНЫЕ средства </t>
    </r>
    <r>
      <rPr>
        <sz val="10"/>
        <rFont val="Calibri"/>
        <family val="2"/>
        <charset val="204"/>
        <scheme val="minor"/>
      </rPr>
      <t>План по договору и ТКП/
Фактическая сумма БЮДЖЕТА в отгрузке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</si>
</sst>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₽_-;\-* #,##0\ _₽_-;_-* &quot;-&quot;\ _₽_-;_-@_-"/>
    <numFmt numFmtId="43" formatCode="_-* #,##0.00\ _₽_-;\-* #,##0.00\ _₽_-;_-* &quot;-&quot;??\ _₽_-;_-@_-"/>
    <numFmt numFmtId="164" formatCode="_-* #,##0.00_р_._-;\-* #,##0.00_р_._-;_-* &quot;-&quot;??_р_._-;_-@_-"/>
    <numFmt numFmtId="165" formatCode="0.0%"/>
    <numFmt numFmtId="166" formatCode="_-* #,##0\ _₽_-;\-* #,##0\ _₽_-;_-* &quot;-&quot;??\ _₽_-;_-@_-"/>
    <numFmt numFmtId="167" formatCode="#,##0_ ;[Red]\-#,##0\ "/>
  </numFmts>
  <fonts count="13" x14ac:knownFonts="1"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FF000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0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0" applyNumberFormat="1" applyBorder="1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43" fontId="0" fillId="0" borderId="1" xfId="0" applyNumberFormat="1" applyFill="1" applyBorder="1"/>
    <xf numFmtId="0" fontId="2" fillId="0" borderId="0" xfId="0" applyFont="1" applyBorder="1"/>
    <xf numFmtId="0" fontId="0" fillId="0" borderId="1" xfId="0" applyFill="1" applyBorder="1"/>
    <xf numFmtId="41" fontId="0" fillId="0" borderId="1" xfId="0" applyNumberFormat="1" applyBorder="1"/>
    <xf numFmtId="41" fontId="2" fillId="0" borderId="1" xfId="0" applyNumberFormat="1" applyFont="1" applyBorder="1"/>
    <xf numFmtId="0" fontId="2" fillId="0" borderId="0" xfId="0" applyFont="1"/>
    <xf numFmtId="14" fontId="0" fillId="0" borderId="1" xfId="0" applyNumberFormat="1" applyFont="1" applyFill="1" applyBorder="1"/>
    <xf numFmtId="41" fontId="0" fillId="0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Fill="1" applyBorder="1"/>
    <xf numFmtId="166" fontId="0" fillId="0" borderId="1" xfId="0" applyNumberFormat="1" applyBorder="1"/>
    <xf numFmtId="43" fontId="2" fillId="0" borderId="1" xfId="0" applyNumberFormat="1" applyFont="1" applyFill="1" applyBorder="1"/>
    <xf numFmtId="0" fontId="0" fillId="0" borderId="1" xfId="0" applyBorder="1" applyAlignment="1">
      <alignment horizontal="center" wrapText="1"/>
    </xf>
    <xf numFmtId="0" fontId="2" fillId="0" borderId="1" xfId="0" applyFont="1" applyFill="1" applyBorder="1"/>
    <xf numFmtId="14" fontId="0" fillId="2" borderId="1" xfId="0" applyNumberFormat="1" applyFont="1" applyFill="1" applyBorder="1"/>
    <xf numFmtId="43" fontId="0" fillId="2" borderId="1" xfId="0" applyNumberFormat="1" applyFill="1" applyBorder="1"/>
    <xf numFmtId="43" fontId="0" fillId="3" borderId="1" xfId="0" applyNumberFormat="1" applyFill="1" applyBorder="1"/>
    <xf numFmtId="43" fontId="1" fillId="0" borderId="1" xfId="0" applyNumberFormat="1" applyFont="1" applyFill="1" applyBorder="1"/>
    <xf numFmtId="43" fontId="7" fillId="0" borderId="1" xfId="0" applyNumberFormat="1" applyFont="1" applyBorder="1"/>
    <xf numFmtId="14" fontId="0" fillId="4" borderId="1" xfId="0" applyNumberFormat="1" applyFont="1" applyFill="1" applyBorder="1"/>
    <xf numFmtId="43" fontId="0" fillId="4" borderId="1" xfId="0" applyNumberFormat="1" applyFill="1" applyBorder="1"/>
    <xf numFmtId="164" fontId="0" fillId="0" borderId="0" xfId="0" applyNumberFormat="1"/>
    <xf numFmtId="0" fontId="0" fillId="0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1" fillId="0" borderId="0" xfId="0" applyFont="1" applyFill="1"/>
    <xf numFmtId="0" fontId="1" fillId="0" borderId="0" xfId="0" applyFont="1"/>
    <xf numFmtId="14" fontId="2" fillId="0" borderId="1" xfId="0" applyNumberFormat="1" applyFont="1" applyFill="1" applyBorder="1"/>
    <xf numFmtId="14" fontId="0" fillId="0" borderId="1" xfId="0" applyNumberFormat="1" applyFill="1" applyBorder="1" applyAlignment="1">
      <alignment horizontal="right"/>
    </xf>
    <xf numFmtId="14" fontId="2" fillId="0" borderId="1" xfId="0" applyNumberFormat="1" applyFon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2" borderId="0" xfId="0" applyFill="1"/>
    <xf numFmtId="165" fontId="0" fillId="2" borderId="1" xfId="0" applyNumberFormat="1" applyFill="1" applyBorder="1"/>
    <xf numFmtId="41" fontId="0" fillId="2" borderId="1" xfId="0" applyNumberFormat="1" applyFill="1" applyBorder="1"/>
    <xf numFmtId="166" fontId="0" fillId="2" borderId="1" xfId="0" applyNumberFormat="1" applyFill="1" applyBorder="1"/>
    <xf numFmtId="43" fontId="2" fillId="2" borderId="1" xfId="0" applyNumberFormat="1" applyFont="1" applyFill="1" applyBorder="1"/>
    <xf numFmtId="14" fontId="0" fillId="2" borderId="1" xfId="0" applyNumberFormat="1" applyFill="1" applyBorder="1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1" xfId="0" applyFill="1" applyBorder="1"/>
    <xf numFmtId="14" fontId="0" fillId="6" borderId="1" xfId="0" applyNumberFormat="1" applyFill="1" applyBorder="1"/>
    <xf numFmtId="43" fontId="0" fillId="6" borderId="1" xfId="0" applyNumberFormat="1" applyFill="1" applyBorder="1"/>
    <xf numFmtId="166" fontId="0" fillId="0" borderId="1" xfId="0" applyNumberFormat="1" applyFill="1" applyBorder="1"/>
    <xf numFmtId="164" fontId="0" fillId="0" borderId="0" xfId="0" applyNumberFormat="1" applyFill="1"/>
    <xf numFmtId="14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/>
    <xf numFmtId="43" fontId="7" fillId="0" borderId="1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7" borderId="1" xfId="0" applyFont="1" applyFill="1" applyBorder="1"/>
    <xf numFmtId="0" fontId="0" fillId="7" borderId="1" xfId="0" applyFill="1" applyBorder="1" applyAlignment="1">
      <alignment textRotation="90" wrapText="1"/>
    </xf>
    <xf numFmtId="43" fontId="7" fillId="7" borderId="1" xfId="0" applyNumberFormat="1" applyFont="1" applyFill="1" applyBorder="1"/>
    <xf numFmtId="43" fontId="0" fillId="7" borderId="1" xfId="0" applyNumberFormat="1" applyFill="1" applyBorder="1"/>
    <xf numFmtId="43" fontId="2" fillId="7" borderId="1" xfId="0" applyNumberFormat="1" applyFont="1" applyFill="1" applyBorder="1"/>
    <xf numFmtId="41" fontId="0" fillId="7" borderId="1" xfId="0" applyNumberFormat="1" applyFill="1" applyBorder="1" applyAlignment="1">
      <alignment textRotation="90" wrapText="1"/>
    </xf>
    <xf numFmtId="0" fontId="2" fillId="5" borderId="1" xfId="0" applyFont="1" applyFill="1" applyBorder="1"/>
    <xf numFmtId="0" fontId="0" fillId="5" borderId="1" xfId="0" applyFill="1" applyBorder="1" applyAlignment="1">
      <alignment textRotation="90" wrapText="1"/>
    </xf>
    <xf numFmtId="43" fontId="2" fillId="5" borderId="1" xfId="0" applyNumberFormat="1" applyFont="1" applyFill="1" applyBorder="1"/>
    <xf numFmtId="41" fontId="0" fillId="5" borderId="1" xfId="0" applyNumberFormat="1" applyFill="1" applyBorder="1" applyAlignment="1">
      <alignment textRotation="90" wrapText="1"/>
    </xf>
    <xf numFmtId="14" fontId="5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/>
    <xf numFmtId="14" fontId="5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3" fontId="1" fillId="0" borderId="1" xfId="0" applyNumberFormat="1" applyFont="1" applyBorder="1"/>
    <xf numFmtId="0" fontId="11" fillId="0" borderId="0" xfId="0" applyFont="1"/>
    <xf numFmtId="0" fontId="12" fillId="0" borderId="1" xfId="0" applyFont="1" applyBorder="1"/>
    <xf numFmtId="0" fontId="9" fillId="0" borderId="0" xfId="0" applyFont="1" applyAlignment="1">
      <alignment horizontal="left"/>
    </xf>
    <xf numFmtId="43" fontId="0" fillId="2" borderId="1" xfId="0" applyNumberFormat="1" applyFont="1" applyFill="1" applyBorder="1"/>
    <xf numFmtId="0" fontId="0" fillId="0" borderId="0" xfId="0" pivotButton="1"/>
    <xf numFmtId="14" fontId="0" fillId="0" borderId="0" xfId="0" applyNumberFormat="1"/>
    <xf numFmtId="3" fontId="0" fillId="0" borderId="1" xfId="0" applyNumberFormat="1" applyBorder="1" applyAlignment="1">
      <alignment horizontal="center" wrapText="1"/>
    </xf>
    <xf numFmtId="3" fontId="0" fillId="7" borderId="1" xfId="0" applyNumberFormat="1" applyFill="1" applyBorder="1" applyAlignment="1">
      <alignment textRotation="90" wrapText="1"/>
    </xf>
    <xf numFmtId="3" fontId="0" fillId="0" borderId="1" xfId="0" applyNumberFormat="1" applyBorder="1"/>
    <xf numFmtId="3" fontId="0" fillId="0" borderId="1" xfId="0" applyNumberFormat="1" applyFill="1" applyBorder="1"/>
    <xf numFmtId="3" fontId="0" fillId="2" borderId="1" xfId="0" applyNumberFormat="1" applyFill="1" applyBorder="1"/>
    <xf numFmtId="3" fontId="0" fillId="5" borderId="1" xfId="0" applyNumberFormat="1" applyFill="1" applyBorder="1" applyAlignment="1">
      <alignment textRotation="90" wrapText="1"/>
    </xf>
    <xf numFmtId="3" fontId="0" fillId="0" borderId="0" xfId="0" applyNumberFormat="1"/>
    <xf numFmtId="167" fontId="0" fillId="0" borderId="1" xfId="0" applyNumberFormat="1" applyBorder="1" applyAlignment="1">
      <alignment horizontal="left"/>
    </xf>
    <xf numFmtId="167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12" fillId="0" borderId="1" xfId="0" applyFont="1" applyFill="1" applyBorder="1"/>
    <xf numFmtId="14" fontId="12" fillId="0" borderId="1" xfId="0" applyNumberFormat="1" applyFont="1" applyFill="1" applyBorder="1"/>
    <xf numFmtId="0" fontId="0" fillId="0" borderId="1" xfId="0" pivotButton="1" applyBorder="1"/>
    <xf numFmtId="14" fontId="0" fillId="0" borderId="1" xfId="0" applyNumberFormat="1" applyBorder="1" applyAlignment="1">
      <alignment horizontal="center" wrapText="1"/>
    </xf>
    <xf numFmtId="14" fontId="0" fillId="7" borderId="1" xfId="0" applyNumberFormat="1" applyFill="1" applyBorder="1" applyAlignment="1">
      <alignment textRotation="90" wrapText="1"/>
    </xf>
    <xf numFmtId="14" fontId="0" fillId="5" borderId="1" xfId="0" applyNumberFormat="1" applyFill="1" applyBorder="1" applyAlignment="1">
      <alignment textRotation="90" wrapText="1"/>
    </xf>
    <xf numFmtId="14" fontId="1" fillId="0" borderId="0" xfId="0" applyNumberFormat="1" applyFont="1" applyFill="1" applyBorder="1"/>
    <xf numFmtId="0" fontId="8" fillId="0" borderId="0" xfId="0" applyFont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/>
    <xf numFmtId="0" fontId="0" fillId="0" borderId="1" xfId="0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textRotation="90" wrapText="1"/>
    </xf>
    <xf numFmtId="14" fontId="8" fillId="0" borderId="1" xfId="0" applyNumberFormat="1" applyFont="1" applyFill="1" applyBorder="1"/>
    <xf numFmtId="43" fontId="8" fillId="0" borderId="1" xfId="0" applyNumberFormat="1" applyFont="1" applyFill="1" applyBorder="1"/>
    <xf numFmtId="166" fontId="8" fillId="0" borderId="1" xfId="0" applyNumberFormat="1" applyFont="1" applyFill="1" applyBorder="1"/>
    <xf numFmtId="0" fontId="8" fillId="0" borderId="1" xfId="0" applyFont="1" applyFill="1" applyBorder="1"/>
    <xf numFmtId="14" fontId="7" fillId="0" borderId="0" xfId="0" applyNumberFormat="1" applyFont="1"/>
  </cellXfs>
  <cellStyles count="2">
    <cellStyle name="Обычный" xfId="0" builtinId="0"/>
    <cellStyle name="Обычный 2" xfId="1"/>
  </cellStyles>
  <dxfs count="67">
    <dxf>
      <numFmt numFmtId="167" formatCode="#,##0_ ;[Red]\-#,##0\ "/>
    </dxf>
    <dxf>
      <numFmt numFmtId="167" formatCode="#,##0_ ;[Red]\-#,##0\ "/>
    </dxf>
    <dxf>
      <numFmt numFmtId="167" formatCode="#,##0_ ;[Red]\-#,##0\ "/>
    </dxf>
    <dxf>
      <numFmt numFmtId="167" formatCode="#,##0_ ;[Red]\-#,##0\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#,##0_ ;[Red]\-#,##0\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ukovski" refreshedDate="42839.510543634256" createdVersion="4" refreshedVersion="5" minRefreshableVersion="3" recordCount="122">
  <cacheSource type="worksheet">
    <worksheetSource ref="A4:AC126" sheet="отчет"/>
  </cacheSource>
  <cacheFields count="29">
    <cacheField name="Вид дог." numFmtId="0">
      <sharedItems containsBlank="1"/>
    </cacheField>
    <cacheField name="Статус" numFmtId="0">
      <sharedItems containsBlank="1"/>
    </cacheField>
    <cacheField name="Контрагент" numFmtId="0">
      <sharedItems containsBlank="1" containsMixedTypes="1" containsNumber="1" containsInteger="1" minValue="3" maxValue="3" count="6">
        <m/>
        <s v="ОАО &quot;Минсктелекомстрой&quot;"/>
        <s v="РУП &quot;Белтелеком&quot; "/>
        <s v="ЗАО &quot;БелтехсвязьдетальМн&quot;"/>
        <s v="ОАО &quot;Промсвязь&quot;"/>
        <n v="3" u="1"/>
      </sharedItems>
    </cacheField>
    <cacheField name="Договор" numFmtId="0">
      <sharedItems containsBlank="1"/>
    </cacheField>
    <cacheField name="ТКП, _x000a_авансовые ФКП" numFmtId="0">
      <sharedItems containsBlank="1"/>
    </cacheField>
    <cacheField name="ТТН/Акт" numFmtId="0">
      <sharedItems containsBlank="1"/>
    </cacheField>
    <cacheField name="Дата документа" numFmtId="0">
      <sharedItems containsNonDate="0" containsDate="1" containsString="0" containsBlank="1" minDate="2017-01-10T00:00:00" maxDate="2017-05-01T00:00:00"/>
    </cacheField>
    <cacheField name="Дата подписания документа _x000a_(из внешних аттрибутов)" numFmtId="0">
      <sharedItems containsNonDate="0" containsDate="1" containsString="0" containsBlank="1" minDate="2017-02-04T00:00:00" maxDate="2017-05-06T00:00:00"/>
    </cacheField>
    <cacheField name="Валюта договора" numFmtId="0">
      <sharedItems containsBlank="1"/>
    </cacheField>
    <cacheField name="Плановая сумма отгрузок по ТКП" numFmtId="0">
      <sharedItems containsString="0" containsBlank="1" containsNumber="1" containsInteger="1" minValue="1000000" maxValue="29000000"/>
    </cacheField>
    <cacheField name="БЮДЖЕТНЫЕ средства План по договору и ТКП/_x000a_Фактическая сумма БЮДЖЕТА в отгрузке" numFmtId="0">
      <sharedItems containsString="0" containsBlank="1" containsNumber="1" containsInteger="1" minValue="0" maxValue="2400000"/>
    </cacheField>
    <cacheField name="ФАКТИЧКЕСКАЯ сумма отгрузок по документу" numFmtId="0">
      <sharedItems containsString="0" containsBlank="1" containsNumber="1" containsInteger="1" minValue="50000" maxValue="13250000"/>
    </cacheField>
    <cacheField name="Сумма зачтенного аванса в отгрузке _x000a_(из внешних атрибутов)" numFmtId="0">
      <sharedItems containsString="0" containsBlank="1" containsNumber="1" containsInteger="1" minValue="0" maxValue="1000000"/>
    </cacheField>
    <cacheField name="Наличие проводок по отгрузке" numFmtId="3">
      <sharedItems containsString="0" containsBlank="1" containsNumber="1" containsInteger="1" minValue="1" maxValue="1"/>
    </cacheField>
    <cacheField name="Ставка НДС в документах" numFmtId="0">
      <sharedItems containsString="0" containsBlank="1" containsNumber="1" minValue="0.2" maxValue="0.2"/>
    </cacheField>
    <cacheField name="Плановый срок отгрузки" numFmtId="14">
      <sharedItems containsNonDate="0" containsDate="1" containsString="0" containsBlank="1" minDate="2017-01-31T00:00:00" maxDate="2017-05-01T00:00:00" count="5">
        <m/>
        <d v="2017-01-31T00:00:00"/>
        <d v="2017-02-28T00:00:00"/>
        <d v="2017-03-31T00:00:00"/>
        <d v="2017-04-30T00:00:00"/>
      </sharedItems>
    </cacheField>
    <cacheField name="Кол-во дней просрочки отгрузки" numFmtId="0">
      <sharedItems containsString="0" containsBlank="1" containsNumber="1" containsInteger="1" minValue="-26" maxValue="73" count="15">
        <m/>
        <n v="73"/>
        <n v="0"/>
        <n v="45"/>
        <n v="-16"/>
        <n v="-19"/>
        <n v="-18"/>
        <n v="14"/>
        <n v="-5"/>
        <n v="35" u="1"/>
        <n v="-25" u="1"/>
        <n v="17" u="1"/>
        <n v="-26" u="1"/>
        <n v="4" u="1"/>
        <n v="63" u="1"/>
      </sharedItems>
    </cacheField>
    <cacheField name="Текущая задолженность по отгрузке" numFmtId="0">
      <sharedItems containsString="0" containsBlank="1" containsNumber="1" containsInteger="1" minValue="-150000" maxValue="15750000"/>
    </cacheField>
    <cacheField name="Расчетная дата погашения задолженности по ТТН/акту/авансовому ФКП" numFmtId="14">
      <sharedItems containsNonDate="0" containsDate="1" containsString="0" containsBlank="1" minDate="2017-01-10T00:00:00" maxDate="2017-06-05T00:00:00"/>
    </cacheField>
    <cacheField name="Доп.инфо" numFmtId="0">
      <sharedItems containsBlank="1"/>
    </cacheField>
    <cacheField name="Расчетная сумма погашения по ТТН/акту/авансовому ФКП" numFmtId="0">
      <sharedItems containsString="0" containsBlank="1" containsNumber="1" containsInteger="1" minValue="0" maxValue="5000000"/>
    </cacheField>
    <cacheField name="Количество дней просрочи по оплате" numFmtId="0">
      <sharedItems containsString="0" containsBlank="1" containsNumber="1" containsInteger="1" minValue="-55" maxValue="52"/>
    </cacheField>
    <cacheField name="Платежный документ/Бухсправка" numFmtId="0">
      <sharedItems containsBlank="1"/>
    </cacheField>
    <cacheField name="Источник платежа" numFmtId="0">
      <sharedItems containsBlank="1"/>
    </cacheField>
    <cacheField name="Дата платежного документа, бухсправки" numFmtId="0">
      <sharedItems containsNonDate="0" containsDate="1" containsString="0" containsBlank="1" minDate="2017-01-10T00:00:00" maxDate="2017-05-06T00:00:00"/>
    </cacheField>
    <cacheField name="Сумма платежей по документу (факт)" numFmtId="0">
      <sharedItems containsString="0" containsBlank="1" containsNumber="1" containsInteger="1" minValue="0" maxValue="9350000"/>
    </cacheField>
    <cacheField name="Текущая задолженность по оплате" numFmtId="0">
      <sharedItems containsString="0" containsBlank="1" containsNumber="1" containsInteger="1" minValue="0" maxValue="8060000"/>
    </cacheField>
    <cacheField name="в т.ч.текущая задолженность по оплате АВАНСОВ" numFmtId="0">
      <sharedItems containsString="0" containsBlank="1" containsNumber="1" containsInteger="1" minValue="0" maxValue="1500000"/>
    </cacheField>
    <cacheField name="в т.ч.просрочка платежа" numFmtId="0">
      <sharedItems containsString="0" containsBlank="1" containsNumber="1" containsInteger="1" minValue="0" maxValue="52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hukovski" refreshedDate="42839.510864004631" createdVersion="5" refreshedVersion="5" minRefreshableVersion="3" recordCount="122">
  <cacheSource type="worksheet">
    <worksheetSource ref="A4:AE126" sheet="отчет"/>
  </cacheSource>
  <cacheFields count="31">
    <cacheField name="Вид дог." numFmtId="0">
      <sharedItems containsBlank="1"/>
    </cacheField>
    <cacheField name="Статус" numFmtId="0">
      <sharedItems containsBlank="1"/>
    </cacheField>
    <cacheField name="Контрагент" numFmtId="0">
      <sharedItems containsBlank="1" containsMixedTypes="1" containsNumber="1" containsInteger="1" minValue="3" maxValue="3" count="6">
        <m/>
        <s v="ОАО &quot;Минсктелекомстрой&quot;"/>
        <s v="РУП &quot;Белтелеком&quot; "/>
        <s v="ЗАО &quot;БелтехсвязьдетальМн&quot;"/>
        <s v="ОАО &quot;Промсвязь&quot;"/>
        <n v="3" u="1"/>
      </sharedItems>
    </cacheField>
    <cacheField name="Договор" numFmtId="0">
      <sharedItems containsBlank="1"/>
    </cacheField>
    <cacheField name="ТКП, _x000a_авансовые ФКП" numFmtId="0">
      <sharedItems containsBlank="1"/>
    </cacheField>
    <cacheField name="ТТН/Акт" numFmtId="0">
      <sharedItems containsBlank="1"/>
    </cacheField>
    <cacheField name="Дата документа" numFmtId="0">
      <sharedItems containsNonDate="0" containsDate="1" containsString="0" containsBlank="1" minDate="2017-01-10T00:00:00" maxDate="2017-05-01T00:00:00"/>
    </cacheField>
    <cacheField name="Дата подписания документа _x000a_(из внешних аттрибутов)" numFmtId="0">
      <sharedItems containsNonDate="0" containsDate="1" containsString="0" containsBlank="1" minDate="2017-02-04T00:00:00" maxDate="2017-05-06T00:00:00"/>
    </cacheField>
    <cacheField name="Валюта договора" numFmtId="0">
      <sharedItems containsBlank="1"/>
    </cacheField>
    <cacheField name="Плановая сумма отгрузок по ТКП" numFmtId="0">
      <sharedItems containsString="0" containsBlank="1" containsNumber="1" containsInteger="1" minValue="1000000" maxValue="29000000"/>
    </cacheField>
    <cacheField name="БЮДЖЕТНЫЕ средства План по договору и ТКП/_x000a_Фактическая сумма БЮДЖЕТА в отгрузке" numFmtId="0">
      <sharedItems containsString="0" containsBlank="1" containsNumber="1" containsInteger="1" minValue="0" maxValue="2400000"/>
    </cacheField>
    <cacheField name="ФАКТИЧКЕСКАЯ сумма отгрузок по документу" numFmtId="0">
      <sharedItems containsString="0" containsBlank="1" containsNumber="1" containsInteger="1" minValue="50000" maxValue="13250000"/>
    </cacheField>
    <cacheField name="Сумма зачтенного аванса в отгрузке _x000a_(из внешних атрибутов)" numFmtId="0">
      <sharedItems containsString="0" containsBlank="1" containsNumber="1" containsInteger="1" minValue="0" maxValue="1000000"/>
    </cacheField>
    <cacheField name="Наличие проводок по отгрузке" numFmtId="3">
      <sharedItems containsString="0" containsBlank="1" containsNumber="1" containsInteger="1" minValue="1" maxValue="1"/>
    </cacheField>
    <cacheField name="Ставка НДС в документах" numFmtId="0">
      <sharedItems containsString="0" containsBlank="1" containsNumber="1" minValue="0.2" maxValue="0.2"/>
    </cacheField>
    <cacheField name="Плановый срок отгрузки" numFmtId="14">
      <sharedItems containsNonDate="0" containsDate="1" containsString="0" containsBlank="1" minDate="2017-01-31T00:00:00" maxDate="2017-05-01T00:00:00"/>
    </cacheField>
    <cacheField name="Кол-во дней просрочки отгрузки" numFmtId="0">
      <sharedItems containsString="0" containsBlank="1" containsNumber="1" containsInteger="1" minValue="-19" maxValue="73"/>
    </cacheField>
    <cacheField name="Текущая задолженность по отгрузке" numFmtId="0">
      <sharedItems containsString="0" containsBlank="1" containsNumber="1" containsInteger="1" minValue="-150000" maxValue="15750000"/>
    </cacheField>
    <cacheField name="Расчетная дата погашения задолженности по ТТН/акту/авансовому ФКП" numFmtId="14">
      <sharedItems containsNonDate="0" containsDate="1" containsString="0" containsBlank="1" minDate="2017-01-10T00:00:00" maxDate="2017-06-05T00:00:00" count="26">
        <m/>
        <d v="2017-02-15T00:00:00"/>
        <d v="2017-03-07T00:00:00"/>
        <d v="2017-03-13T00:00:00"/>
        <d v="2017-04-02T00:00:00"/>
        <d v="2017-04-15T00:00:00"/>
        <d v="2017-05-05T00:00:00"/>
        <d v="2017-03-06T00:00:00"/>
        <d v="2017-04-01T00:00:00"/>
        <d v="2017-05-04T00:00:00"/>
        <d v="2017-06-04T00:00:00"/>
        <d v="2017-04-11T00:00:00"/>
        <d v="2017-05-01T00:00:00"/>
        <d v="2017-01-20T00:00:00"/>
        <d v="2017-02-20T00:00:00"/>
        <d v="2017-03-20T00:00:00"/>
        <d v="2017-04-20T00:00:00"/>
        <d v="2017-01-21T00:00:00"/>
        <d v="2017-02-10T00:00:00"/>
        <d v="2017-01-23T00:00:00"/>
        <d v="2017-02-12T00:00:00"/>
        <d v="2017-02-21T00:00:00"/>
        <d v="2017-03-26T00:00:00"/>
        <d v="2017-01-10T00:00:00"/>
        <d v="2017-03-10T00:00:00"/>
        <d v="2017-04-10T00:00:00"/>
      </sharedItems>
      <fieldGroup base="18">
        <rangePr autoStart="0" groupBy="days" startDate="2017-01-13T00:00:00" endDate="2017-06-05T00:00:00" groupInterval="7"/>
        <groupItems count="23">
          <s v="&lt;13.01.2017 или (пусто)"/>
          <s v="13.01.2017 - 19.01.2017"/>
          <s v="20.01.2017 - 26.01.2017"/>
          <s v="27.01.2017 - 02.02.2017"/>
          <s v="03.02.2017 - 09.02.2017"/>
          <s v="10.02.2017 - 16.02.2017"/>
          <s v="17.02.2017 - 23.02.2017"/>
          <s v="24.02.2017 - 02.03.2017"/>
          <s v="03.03.2017 - 09.03.2017"/>
          <s v="10.03.2017 - 16.03.2017"/>
          <s v="17.03.2017 - 23.03.2017"/>
          <s v="24.03.2017 - 30.03.2017"/>
          <s v="31.03.2017 - 06.04.2017"/>
          <s v="07.04.2017 - 13.04.2017"/>
          <s v="14.04.2017 - 20.04.2017"/>
          <s v="21.04.2017 - 27.04.2017"/>
          <s v="28.04.2017 - 04.05.2017"/>
          <s v="05.05.2017 - 11.05.2017"/>
          <s v="12.05.2017 - 18.05.2017"/>
          <s v="19.05.2017 - 25.05.2017"/>
          <s v="26.05.2017 - 01.06.2017"/>
          <s v="02.06.2017 - 05.06.2017"/>
          <s v="&gt;05.06.2017"/>
        </groupItems>
      </fieldGroup>
    </cacheField>
    <cacheField name="Доп.инфо" numFmtId="0">
      <sharedItems containsBlank="1"/>
    </cacheField>
    <cacheField name="Расчетная сумма погашения по ТТН/акту/авансовому ФКП" numFmtId="0">
      <sharedItems containsString="0" containsBlank="1" containsNumber="1" containsInteger="1" minValue="0" maxValue="5000000"/>
    </cacheField>
    <cacheField name="Количество дней просрочи по оплате" numFmtId="0">
      <sharedItems containsString="0" containsBlank="1" containsNumber="1" containsInteger="1" minValue="-55" maxValue="52"/>
    </cacheField>
    <cacheField name="Платежный документ/Бухсправка" numFmtId="0">
      <sharedItems containsBlank="1" containsMixedTypes="1" containsNumber="1" containsInteger="1" minValue="23" maxValue="23" count="16">
        <m/>
        <s v="пп.№1001"/>
        <s v="нет оплаты"/>
        <s v="пп.№1002"/>
        <s v="пп.№5001"/>
        <s v="пп.№1003"/>
        <s v="пп.№5002"/>
        <s v="бух.справка№5895"/>
        <s v="пп.№2000"/>
        <s v="пп.№2002"/>
        <s v="пп.№2003"/>
        <s v="пп.№2004"/>
        <s v="пп.№8002"/>
        <s v="пп.№8003"/>
        <s v="пп.№2001"/>
        <n v="23" u="1"/>
      </sharedItems>
    </cacheField>
    <cacheField name="Источник платежа" numFmtId="0">
      <sharedItems containsBlank="1"/>
    </cacheField>
    <cacheField name="Дата платежного документа, бухсправки" numFmtId="0">
      <sharedItems containsNonDate="0" containsDate="1" containsString="0" containsBlank="1" minDate="2017-01-10T00:00:00" maxDate="2017-05-06T00:00:00"/>
    </cacheField>
    <cacheField name="Сумма платежей по документу (факт)" numFmtId="0">
      <sharedItems containsString="0" containsBlank="1" containsNumber="1" containsInteger="1" minValue="0" maxValue="9350000"/>
    </cacheField>
    <cacheField name="Текущая задолженность по оплате" numFmtId="0">
      <sharedItems containsString="0" containsBlank="1" containsNumber="1" containsInteger="1" minValue="0" maxValue="8060000"/>
    </cacheField>
    <cacheField name="в т.ч.текущая задолженность по оплате АВАНСОВ" numFmtId="0">
      <sharedItems containsString="0" containsBlank="1" containsNumber="1" containsInteger="1" minValue="0" maxValue="1500000"/>
    </cacheField>
    <cacheField name="в т.ч.просрочка платежа" numFmtId="0">
      <sharedItems containsString="0" containsBlank="1" containsNumber="1" containsInteger="1" minValue="0" maxValue="5240000"/>
    </cacheField>
    <cacheField name="Ответственный по договору" numFmtId="0">
      <sharedItems containsBlank="1" containsMixedTypes="1" containsNumber="1" containsInteger="1" minValue="0" maxValue="0"/>
    </cacheField>
    <cacheField name="Примечания к проведенным платежным документам и бухсправкам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ИТОГО по отчету"/>
    <m/>
    <x v="0"/>
    <m/>
    <m/>
    <m/>
    <m/>
    <m/>
    <m/>
    <n v="29000000"/>
    <m/>
    <n v="13250000"/>
    <n v="1000000"/>
    <m/>
    <m/>
    <x v="0"/>
    <x v="0"/>
    <n v="15750000"/>
    <m/>
    <m/>
    <m/>
    <m/>
    <m/>
    <m/>
    <m/>
    <n v="9350000"/>
    <n v="8060000"/>
    <n v="1500000"/>
    <n v="5240000"/>
  </r>
  <r>
    <s v="Строительство"/>
    <m/>
    <x v="0"/>
    <m/>
    <m/>
    <m/>
    <m/>
    <m/>
    <m/>
    <n v="14000000"/>
    <m/>
    <n v="7750000"/>
    <n v="1000000"/>
    <m/>
    <m/>
    <x v="0"/>
    <x v="0"/>
    <n v="6250000"/>
    <m/>
    <m/>
    <m/>
    <m/>
    <m/>
    <m/>
    <m/>
    <n v="5450000"/>
    <n v="3980000"/>
    <n v="500000"/>
    <n v="1160000"/>
  </r>
  <r>
    <s v="Строительство"/>
    <m/>
    <x v="1"/>
    <m/>
    <m/>
    <m/>
    <m/>
    <m/>
    <m/>
    <n v="14000000"/>
    <m/>
    <n v="7750000"/>
    <n v="1000000"/>
    <m/>
    <m/>
    <x v="0"/>
    <x v="0"/>
    <n v="6250000"/>
    <m/>
    <m/>
    <m/>
    <m/>
    <m/>
    <m/>
    <m/>
    <n v="5450000"/>
    <n v="3980000"/>
    <n v="500000"/>
    <n v="1160000"/>
  </r>
  <r>
    <s v="Строительство"/>
    <s v="исп."/>
    <x v="1"/>
    <s v="договор №8 УД Омговичи … р-на"/>
    <m/>
    <m/>
    <d v="2017-01-21T00:00:00"/>
    <m/>
    <s v="BYN"/>
    <n v="5000000"/>
    <m/>
    <n v="2200000"/>
    <n v="0"/>
    <m/>
    <n v="0.2"/>
    <x v="0"/>
    <x v="0"/>
    <n v="2800000"/>
    <m/>
    <m/>
    <m/>
    <m/>
    <m/>
    <m/>
    <m/>
    <n v="500000"/>
    <n v="1700000"/>
    <n v="0"/>
    <n v="700000"/>
  </r>
  <r>
    <s v="Строительство"/>
    <s v="исп."/>
    <x v="1"/>
    <s v="договор №8 УД Омговичи … р-на"/>
    <s v="ТКП №1"/>
    <m/>
    <d v="2017-01-21T00:00:00"/>
    <m/>
    <s v="BYN"/>
    <n v="1000000"/>
    <m/>
    <n v="500000"/>
    <n v="0"/>
    <m/>
    <m/>
    <x v="1"/>
    <x v="1"/>
    <n v="500000"/>
    <m/>
    <m/>
    <m/>
    <m/>
    <m/>
    <m/>
    <m/>
    <m/>
    <m/>
    <m/>
    <m/>
  </r>
  <r>
    <s v="Строительство"/>
    <s v="исп."/>
    <x v="1"/>
    <s v="договор №8 УД Омговичи … р-на"/>
    <s v="ТКП №1"/>
    <s v="АКТ №1"/>
    <d v="2017-01-31T00:00:00"/>
    <d v="2017-02-04T00:00:00"/>
    <s v="BYN"/>
    <m/>
    <m/>
    <n v="500000"/>
    <m/>
    <n v="1"/>
    <n v="0.2"/>
    <x v="1"/>
    <x v="2"/>
    <m/>
    <m/>
    <m/>
    <m/>
    <m/>
    <m/>
    <m/>
    <m/>
    <n v="500000"/>
    <n v="0"/>
    <n v="0"/>
    <n v="0"/>
  </r>
  <r>
    <s v="Строительство"/>
    <s v="исп."/>
    <x v="1"/>
    <s v="договор №8 УД Омговичи … р-на"/>
    <s v="ТКП №1"/>
    <s v="АКТ №1"/>
    <d v="2017-01-31T00:00:00"/>
    <m/>
    <m/>
    <m/>
    <m/>
    <m/>
    <m/>
    <m/>
    <m/>
    <x v="0"/>
    <x v="0"/>
    <m/>
    <d v="2017-02-15T00:00:00"/>
    <s v="на 11д"/>
    <n v="200000"/>
    <n v="-5"/>
    <s v="пп.№1001"/>
    <s v="1 Расчетный счет"/>
    <d v="2017-02-10T00:00:00"/>
    <n v="200000"/>
    <n v="0"/>
    <n v="0"/>
    <n v="0"/>
  </r>
  <r>
    <s v="Строительство"/>
    <s v="исп."/>
    <x v="1"/>
    <s v="договор №8 УД Омговичи … р-на"/>
    <s v="ТКП №1"/>
    <s v="АКТ №1"/>
    <d v="2017-01-31T00:00:00"/>
    <m/>
    <m/>
    <m/>
    <m/>
    <m/>
    <m/>
    <m/>
    <m/>
    <x v="0"/>
    <x v="0"/>
    <m/>
    <d v="2017-03-07T00:00:00"/>
    <s v="на 31д"/>
    <n v="300000"/>
    <n v="-25"/>
    <s v="пп.№1001"/>
    <s v="1 Расчетный счет"/>
    <d v="2017-02-10T00:00:00"/>
    <n v="300000"/>
    <n v="0"/>
    <n v="0"/>
    <n v="0"/>
  </r>
  <r>
    <s v="Строительство"/>
    <s v="исп."/>
    <x v="1"/>
    <s v="договор №8 УД Омговичи … р-на"/>
    <s v="ТКП №2"/>
    <m/>
    <d v="2017-01-21T00:00:00"/>
    <m/>
    <s v="BYN"/>
    <n v="1000000"/>
    <m/>
    <n v="700000"/>
    <n v="0"/>
    <m/>
    <m/>
    <x v="2"/>
    <x v="3"/>
    <n v="300000"/>
    <m/>
    <m/>
    <m/>
    <m/>
    <m/>
    <m/>
    <m/>
    <m/>
    <m/>
    <m/>
    <m/>
  </r>
  <r>
    <s v="Строительство"/>
    <s v="исп."/>
    <x v="1"/>
    <s v="договор №8 УД Омговичи … р-на"/>
    <s v="ТКП №2"/>
    <s v="АКТ №2"/>
    <d v="2017-02-28T00:00:00"/>
    <d v="2017-03-02T00:00:00"/>
    <s v="BYN"/>
    <m/>
    <m/>
    <n v="700000"/>
    <m/>
    <n v="1"/>
    <n v="0.2"/>
    <x v="2"/>
    <x v="2"/>
    <m/>
    <m/>
    <m/>
    <m/>
    <m/>
    <m/>
    <m/>
    <m/>
    <n v="0"/>
    <n v="700000"/>
    <n v="0"/>
    <n v="700000"/>
  </r>
  <r>
    <s v="Строительство"/>
    <s v="исп."/>
    <x v="1"/>
    <s v="договор №8 УД Омговичи … р-на"/>
    <s v="ТКП №2"/>
    <s v="АКТ №2"/>
    <d v="2017-02-28T00:00:00"/>
    <m/>
    <m/>
    <m/>
    <m/>
    <m/>
    <m/>
    <m/>
    <m/>
    <x v="0"/>
    <x v="0"/>
    <m/>
    <d v="2017-03-13T00:00:00"/>
    <s v="на 11д"/>
    <n v="280000"/>
    <n v="32"/>
    <s v="нет оплаты"/>
    <m/>
    <m/>
    <n v="280000"/>
    <n v="280000"/>
    <n v="0"/>
    <n v="280000"/>
  </r>
  <r>
    <s v="Строительство"/>
    <s v="исп."/>
    <x v="1"/>
    <s v="договор №8 УД Омговичи … р-на"/>
    <s v="ТКП №2"/>
    <s v="АКТ №2"/>
    <d v="2017-02-28T00:00:00"/>
    <m/>
    <m/>
    <m/>
    <m/>
    <m/>
    <m/>
    <m/>
    <m/>
    <x v="0"/>
    <x v="0"/>
    <m/>
    <d v="2017-04-02T00:00:00"/>
    <s v="на 31д"/>
    <n v="420000"/>
    <n v="12"/>
    <s v="нет оплаты"/>
    <m/>
    <m/>
    <n v="420000"/>
    <n v="420000"/>
    <n v="0"/>
    <n v="420000"/>
  </r>
  <r>
    <s v="Строительство"/>
    <s v="исп."/>
    <x v="1"/>
    <s v="договор №8 УД Омговичи … р-на"/>
    <s v="ТКП №3"/>
    <m/>
    <d v="2017-01-21T00:00:00"/>
    <m/>
    <s v="BYN"/>
    <n v="1000000"/>
    <m/>
    <n v="1000000"/>
    <n v="0"/>
    <m/>
    <m/>
    <x v="3"/>
    <x v="2"/>
    <n v="0"/>
    <m/>
    <m/>
    <m/>
    <m/>
    <m/>
    <m/>
    <m/>
    <m/>
    <m/>
    <m/>
    <m/>
  </r>
  <r>
    <s v="Строительство"/>
    <s v="исп."/>
    <x v="1"/>
    <s v="договор №8 УД Омговичи … р-на"/>
    <s v="ТКП №3"/>
    <s v="АКТ №3"/>
    <d v="2017-03-31T00:00:00"/>
    <d v="2017-04-04T00:00:00"/>
    <s v="BYN"/>
    <m/>
    <m/>
    <n v="1000000"/>
    <m/>
    <n v="1"/>
    <n v="0.2"/>
    <x v="0"/>
    <x v="0"/>
    <m/>
    <m/>
    <m/>
    <m/>
    <m/>
    <m/>
    <m/>
    <m/>
    <n v="0"/>
    <n v="1000000"/>
    <n v="0"/>
    <n v="0"/>
  </r>
  <r>
    <s v="Строительство"/>
    <s v="исп."/>
    <x v="1"/>
    <s v="договор №8 УД Омговичи … р-на"/>
    <s v="ТКП №3"/>
    <s v="АКТ №3"/>
    <d v="2017-03-31T00:00:00"/>
    <m/>
    <m/>
    <m/>
    <m/>
    <m/>
    <m/>
    <m/>
    <m/>
    <x v="0"/>
    <x v="0"/>
    <m/>
    <d v="2017-04-15T00:00:00"/>
    <s v="на 11д"/>
    <n v="400000"/>
    <n v="-1"/>
    <s v="нет оплаты"/>
    <m/>
    <m/>
    <n v="400000"/>
    <n v="400000"/>
    <n v="0"/>
    <n v="0"/>
  </r>
  <r>
    <s v="Строительство"/>
    <s v="исп."/>
    <x v="1"/>
    <s v="договор №8 УД Омговичи … р-на"/>
    <s v="ТКП №3"/>
    <s v="АКТ №3"/>
    <d v="2017-03-31T00:00:00"/>
    <m/>
    <m/>
    <m/>
    <m/>
    <m/>
    <m/>
    <m/>
    <m/>
    <x v="0"/>
    <x v="0"/>
    <m/>
    <d v="2017-05-05T00:00:00"/>
    <s v="на 31д"/>
    <n v="600000"/>
    <n v="-21"/>
    <s v="нет оплаты"/>
    <m/>
    <m/>
    <n v="600000"/>
    <n v="600000"/>
    <n v="0"/>
    <n v="0"/>
  </r>
  <r>
    <s v="Строительство"/>
    <s v="исп."/>
    <x v="1"/>
    <s v="договор №8 УД Омговичи … р-на"/>
    <s v="ТКП №4"/>
    <m/>
    <d v="2017-01-21T00:00:00"/>
    <m/>
    <s v="BYN"/>
    <n v="2000000"/>
    <m/>
    <m/>
    <m/>
    <m/>
    <m/>
    <x v="4"/>
    <x v="4"/>
    <n v="2000000"/>
    <m/>
    <m/>
    <m/>
    <m/>
    <m/>
    <m/>
    <m/>
    <m/>
    <m/>
    <m/>
    <m/>
  </r>
  <r>
    <s v="Строительство"/>
    <s v="исп."/>
    <x v="1"/>
    <s v="договор №18 УД Ходаково … р-на"/>
    <m/>
    <m/>
    <d v="2017-01-21T00:00:00"/>
    <m/>
    <s v="BYN"/>
    <n v="4000000"/>
    <n v="2400000"/>
    <n v="3200000"/>
    <n v="0"/>
    <m/>
    <n v="0.2"/>
    <x v="0"/>
    <x v="0"/>
    <n v="800000"/>
    <m/>
    <m/>
    <m/>
    <m/>
    <m/>
    <m/>
    <m/>
    <n v="2450000"/>
    <n v="730000"/>
    <n v="0"/>
    <n v="0"/>
  </r>
  <r>
    <s v="Строительство"/>
    <s v="исп."/>
    <x v="1"/>
    <s v="договор №18 УД Ходаково … р-на"/>
    <s v="ТКП №1"/>
    <m/>
    <d v="2017-01-21T00:00:00"/>
    <m/>
    <s v="BYN"/>
    <n v="1000000"/>
    <n v="0"/>
    <n v="500000"/>
    <n v="0"/>
    <m/>
    <m/>
    <x v="1"/>
    <x v="1"/>
    <n v="500000"/>
    <m/>
    <m/>
    <m/>
    <m/>
    <m/>
    <m/>
    <m/>
    <m/>
    <m/>
    <m/>
    <m/>
  </r>
  <r>
    <s v="Строительство"/>
    <s v="исп."/>
    <x v="1"/>
    <s v="договор №18 УД Ходаково … р-на"/>
    <s v="ТКП №1"/>
    <s v="АКТ №1"/>
    <d v="2017-01-31T00:00:00"/>
    <d v="2017-02-04T00:00:00"/>
    <s v="BYN"/>
    <m/>
    <m/>
    <n v="500000"/>
    <m/>
    <n v="1"/>
    <n v="0.2"/>
    <x v="1"/>
    <x v="2"/>
    <m/>
    <m/>
    <m/>
    <m/>
    <m/>
    <m/>
    <m/>
    <m/>
    <n v="500000"/>
    <n v="0"/>
    <n v="0"/>
    <n v="0"/>
  </r>
  <r>
    <s v="Строительство"/>
    <s v="исп."/>
    <x v="1"/>
    <s v="договор №18 УД Ходаково … р-на"/>
    <s v="ТКП №1"/>
    <s v="АКТ №1"/>
    <d v="2017-01-31T00:00:00"/>
    <m/>
    <m/>
    <m/>
    <m/>
    <m/>
    <m/>
    <m/>
    <m/>
    <x v="0"/>
    <x v="0"/>
    <m/>
    <d v="2017-03-06T00:00:00"/>
    <m/>
    <n v="500000"/>
    <n v="-6"/>
    <s v="пп.№1001"/>
    <s v="1 Расчетный счет"/>
    <d v="2017-02-28T00:00:00"/>
    <n v="500000"/>
    <n v="0"/>
    <n v="0"/>
    <n v="0"/>
  </r>
  <r>
    <s v="Строительство"/>
    <s v="исп."/>
    <x v="1"/>
    <s v="договор №18 УД Ходаково … р-на"/>
    <s v="ТКП №1"/>
    <s v="АКТ №1"/>
    <d v="2017-01-31T00:00:00"/>
    <m/>
    <m/>
    <m/>
    <m/>
    <m/>
    <m/>
    <m/>
    <m/>
    <x v="0"/>
    <x v="0"/>
    <m/>
    <m/>
    <m/>
    <m/>
    <m/>
    <m/>
    <m/>
    <m/>
    <m/>
    <m/>
    <n v="0"/>
    <n v="0"/>
  </r>
  <r>
    <s v="Строительство"/>
    <s v="исп."/>
    <x v="1"/>
    <s v="договор №18 УД Ходаково … р-на"/>
    <s v="ТКП №2"/>
    <m/>
    <d v="2017-01-21T00:00:00"/>
    <m/>
    <s v="BYN"/>
    <n v="1000000"/>
    <n v="800000"/>
    <n v="700000"/>
    <n v="0"/>
    <m/>
    <m/>
    <x v="2"/>
    <x v="3"/>
    <n v="300000"/>
    <m/>
    <m/>
    <m/>
    <m/>
    <m/>
    <m/>
    <m/>
    <m/>
    <m/>
    <m/>
    <m/>
  </r>
  <r>
    <s v="Строительство"/>
    <s v="исп."/>
    <x v="1"/>
    <s v="договор №18 УД Ходаково … р-на"/>
    <s v="ТКП №2"/>
    <s v="АКТ №2"/>
    <d v="2017-02-28T00:00:00"/>
    <d v="2017-03-02T00:00:00"/>
    <s v="BYN"/>
    <m/>
    <n v="560000"/>
    <n v="700000"/>
    <m/>
    <m/>
    <n v="0.2"/>
    <x v="2"/>
    <x v="2"/>
    <m/>
    <m/>
    <m/>
    <m/>
    <m/>
    <m/>
    <m/>
    <m/>
    <n v="700000"/>
    <n v="0"/>
    <n v="0"/>
    <n v="0"/>
  </r>
  <r>
    <s v="Строительство"/>
    <s v="исп."/>
    <x v="1"/>
    <s v="договор №18 УД Ходаково … р-на"/>
    <s v="ТКП №2"/>
    <s v="АКТ №2"/>
    <d v="2017-02-28T00:00:00"/>
    <m/>
    <m/>
    <m/>
    <m/>
    <m/>
    <m/>
    <m/>
    <m/>
    <x v="0"/>
    <x v="0"/>
    <m/>
    <d v="2017-04-01T00:00:00"/>
    <m/>
    <n v="700000"/>
    <n v="-22"/>
    <s v="пп.№1002"/>
    <s v="1 Расчетный счет"/>
    <d v="2017-03-10T00:00:00"/>
    <n v="140000"/>
    <n v="0"/>
    <n v="0"/>
    <n v="0"/>
  </r>
  <r>
    <s v="Строительство"/>
    <s v="исп."/>
    <x v="1"/>
    <s v="договор №18 УД Ходаково … р-на"/>
    <s v="ТКП №2"/>
    <s v="АКТ №2"/>
    <d v="2017-02-28T00:00:00"/>
    <m/>
    <m/>
    <m/>
    <m/>
    <m/>
    <m/>
    <m/>
    <m/>
    <x v="0"/>
    <x v="0"/>
    <m/>
    <d v="2017-04-01T00:00:00"/>
    <m/>
    <m/>
    <n v="3"/>
    <s v="пп.№5001"/>
    <s v="7 ФОУ Расчеты с подрядчиками"/>
    <d v="2017-04-04T00:00:00"/>
    <n v="560000"/>
    <n v="0"/>
    <n v="0"/>
    <n v="0"/>
  </r>
  <r>
    <s v="Строительство"/>
    <s v="исп."/>
    <x v="1"/>
    <s v="договор №18 УД Ходаково … р-на"/>
    <s v="ТКП №3"/>
    <m/>
    <d v="2017-01-21T00:00:00"/>
    <m/>
    <s v="BYN"/>
    <n v="1000000"/>
    <n v="800000"/>
    <n v="1000000"/>
    <n v="0"/>
    <m/>
    <m/>
    <x v="3"/>
    <x v="2"/>
    <n v="0"/>
    <m/>
    <m/>
    <m/>
    <m/>
    <m/>
    <m/>
    <m/>
    <m/>
    <m/>
    <m/>
    <m/>
  </r>
  <r>
    <s v="Строительство"/>
    <s v="исп."/>
    <x v="1"/>
    <s v="договор №18 УД Ходаково … р-на"/>
    <s v="ТКП №3"/>
    <s v="АКТ №3"/>
    <d v="2017-03-31T00:00:00"/>
    <d v="2017-04-04T00:00:00"/>
    <s v="BYN"/>
    <m/>
    <n v="750000"/>
    <n v="1000000"/>
    <m/>
    <n v="1"/>
    <n v="0.2"/>
    <x v="0"/>
    <x v="0"/>
    <m/>
    <m/>
    <m/>
    <m/>
    <m/>
    <m/>
    <m/>
    <m/>
    <n v="1000000"/>
    <n v="0"/>
    <n v="0"/>
    <n v="0"/>
  </r>
  <r>
    <s v="Строительство"/>
    <s v="исп."/>
    <x v="1"/>
    <s v="договор №18 УД Ходаково … р-на"/>
    <s v="ТКП №3"/>
    <s v="АКТ №3"/>
    <d v="2017-03-31T00:00:00"/>
    <m/>
    <m/>
    <m/>
    <m/>
    <m/>
    <m/>
    <m/>
    <m/>
    <x v="0"/>
    <x v="0"/>
    <m/>
    <d v="2017-05-04T00:00:00"/>
    <m/>
    <n v="1000000"/>
    <n v="-24"/>
    <s v="пп.№1003"/>
    <s v="1 Расчетный счет"/>
    <d v="2017-04-10T00:00:00"/>
    <n v="250000"/>
    <n v="0"/>
    <n v="0"/>
    <n v="0"/>
  </r>
  <r>
    <s v="Строительство"/>
    <s v="исп."/>
    <x v="1"/>
    <s v="договор №18 УД Ходаково … р-на"/>
    <s v="ТКП №3"/>
    <s v="АКТ №3"/>
    <d v="2017-03-31T00:00:00"/>
    <m/>
    <m/>
    <m/>
    <m/>
    <m/>
    <m/>
    <m/>
    <m/>
    <x v="0"/>
    <x v="0"/>
    <m/>
    <d v="2017-05-04T00:00:00"/>
    <m/>
    <m/>
    <n v="1"/>
    <s v="пп.№5002"/>
    <s v="7 ФОУ Расчеты с подрядчиками"/>
    <d v="2017-05-05T00:00:00"/>
    <n v="750000"/>
    <n v="0"/>
    <n v="0"/>
    <n v="0"/>
  </r>
  <r>
    <s v="Строительство"/>
    <s v="исп."/>
    <x v="1"/>
    <s v="договор №18 УД Ходаково … р-на"/>
    <s v="ТКП №4"/>
    <m/>
    <d v="2017-01-21T00:00:00"/>
    <m/>
    <s v="BYN"/>
    <n v="1000000"/>
    <n v="800000"/>
    <n v="1000000"/>
    <n v="0"/>
    <m/>
    <m/>
    <x v="4"/>
    <x v="2"/>
    <n v="0"/>
    <m/>
    <m/>
    <m/>
    <m/>
    <m/>
    <m/>
    <m/>
    <m/>
    <m/>
    <m/>
    <m/>
  </r>
  <r>
    <s v="Строительство"/>
    <s v="исп."/>
    <x v="1"/>
    <s v="договор №18 УД Ходаково … р-на"/>
    <s v="ТКП №4"/>
    <s v="АКТ №4"/>
    <d v="2017-04-30T00:00:00"/>
    <d v="2017-05-05T00:00:00"/>
    <s v="BYN"/>
    <m/>
    <n v="750000"/>
    <n v="1000000"/>
    <m/>
    <n v="1"/>
    <n v="0.2"/>
    <x v="0"/>
    <x v="0"/>
    <m/>
    <m/>
    <m/>
    <m/>
    <m/>
    <m/>
    <m/>
    <m/>
    <n v="250000"/>
    <n v="730000"/>
    <n v="0"/>
    <n v="0"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x v="0"/>
    <x v="0"/>
    <m/>
    <d v="2017-06-04T00:00:00"/>
    <m/>
    <n v="1000000"/>
    <n v="-55"/>
    <s v="пп.№1003"/>
    <s v="1 Расчетный счет"/>
    <d v="2017-04-10T00:00:00"/>
    <n v="250000"/>
    <n v="0"/>
    <n v="0"/>
    <n v="0"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x v="0"/>
    <x v="0"/>
    <m/>
    <d v="2017-06-04T00:00:00"/>
    <m/>
    <m/>
    <n v="-53"/>
    <s v="бух.справка№5895"/>
    <m/>
    <d v="2017-04-12T00:00:00"/>
    <n v="20000"/>
    <n v="0"/>
    <n v="0"/>
    <n v="0"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x v="0"/>
    <x v="0"/>
    <m/>
    <d v="2017-06-04T00:00:00"/>
    <m/>
    <m/>
    <n v="-51"/>
    <s v="нет оплаты"/>
    <m/>
    <m/>
    <n v="730000"/>
    <n v="730000"/>
    <n v="0"/>
    <n v="0"/>
  </r>
  <r>
    <s v="Строительство"/>
    <s v="исп."/>
    <x v="1"/>
    <s v="договор №45 Реконструкция СЦ Слуцк"/>
    <m/>
    <m/>
    <d v="2017-01-21T00:00:00"/>
    <m/>
    <s v="BYN"/>
    <n v="5000000"/>
    <m/>
    <n v="2350000"/>
    <n v="1000000"/>
    <m/>
    <n v="0.2"/>
    <x v="0"/>
    <x v="0"/>
    <n v="2650000"/>
    <m/>
    <m/>
    <m/>
    <m/>
    <m/>
    <m/>
    <m/>
    <n v="2500000"/>
    <n v="1550000"/>
    <n v="500000"/>
    <n v="460000"/>
  </r>
  <r>
    <s v="Строительство"/>
    <s v="исп."/>
    <x v="1"/>
    <s v="договор №45 Реконструкция СЦ Слуцк"/>
    <s v="ТКП №1"/>
    <m/>
    <d v="2017-01-21T00:00:00"/>
    <m/>
    <s v="BYN"/>
    <n v="1000000"/>
    <m/>
    <n v="500000"/>
    <n v="200000"/>
    <m/>
    <m/>
    <x v="1"/>
    <x v="1"/>
    <n v="500000"/>
    <m/>
    <m/>
    <m/>
    <m/>
    <m/>
    <m/>
    <m/>
    <m/>
    <m/>
    <m/>
    <m/>
  </r>
  <r>
    <s v="Строительство"/>
    <s v="исп."/>
    <x v="1"/>
    <s v="договор №45 Реконструкция СЦ Слуцк"/>
    <s v="ТКП №1"/>
    <s v="АКТ №1"/>
    <d v="2017-01-31T00:00:00"/>
    <d v="2017-02-04T00:00:00"/>
    <s v="BYN"/>
    <m/>
    <m/>
    <n v="500000"/>
    <n v="200000"/>
    <n v="1"/>
    <n v="0.2"/>
    <x v="1"/>
    <x v="2"/>
    <m/>
    <m/>
    <m/>
    <m/>
    <m/>
    <m/>
    <m/>
    <m/>
    <n v="700000"/>
    <n v="0"/>
    <n v="0"/>
    <n v="0"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x v="0"/>
    <x v="0"/>
    <m/>
    <m/>
    <m/>
    <m/>
    <m/>
    <s v="пп.№2000"/>
    <s v="1 Расчетный счет"/>
    <d v="2017-01-19T00:00:00"/>
    <n v="200000"/>
    <m/>
    <m/>
    <n v="0"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x v="0"/>
    <x v="0"/>
    <m/>
    <d v="2017-02-15T00:00:00"/>
    <s v="на 11д"/>
    <n v="120000"/>
    <n v="-5"/>
    <s v="пп.№1001"/>
    <s v="1 Расчетный счет"/>
    <d v="2017-02-10T00:00:00"/>
    <n v="200000"/>
    <n v="0"/>
    <n v="0"/>
    <n v="0"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x v="0"/>
    <x v="0"/>
    <m/>
    <d v="2017-03-07T00:00:00"/>
    <s v="на 31д"/>
    <n v="180000"/>
    <n v="-25"/>
    <s v="пп.№1001"/>
    <s v="1 Расчетный счет"/>
    <d v="2017-02-10T00:00:00"/>
    <n v="300000"/>
    <n v="0"/>
    <n v="0"/>
    <n v="0"/>
  </r>
  <r>
    <s v="Строительство"/>
    <s v="исп."/>
    <x v="1"/>
    <s v="договор №45 Реконструкция СЦ Слуцк"/>
    <s v="ТКП №2"/>
    <m/>
    <d v="2017-01-21T00:00:00"/>
    <m/>
    <s v="BYN"/>
    <n v="1000000"/>
    <m/>
    <n v="700000"/>
    <n v="300000"/>
    <m/>
    <m/>
    <x v="2"/>
    <x v="3"/>
    <n v="300000"/>
    <m/>
    <m/>
    <m/>
    <m/>
    <m/>
    <m/>
    <m/>
    <m/>
    <m/>
    <m/>
    <m/>
  </r>
  <r>
    <s v="Строительство"/>
    <s v="исп."/>
    <x v="1"/>
    <s v="договор №45 Реконструкция СЦ Слуцк"/>
    <s v="ТКП №2"/>
    <s v="АКТ №2"/>
    <d v="2017-02-28T00:00:00"/>
    <d v="2017-03-02T00:00:00"/>
    <s v="BYN"/>
    <m/>
    <m/>
    <n v="700000"/>
    <n v="300000"/>
    <n v="1"/>
    <n v="0.2"/>
    <x v="2"/>
    <x v="2"/>
    <m/>
    <m/>
    <m/>
    <m/>
    <m/>
    <m/>
    <m/>
    <m/>
    <n v="300000"/>
    <n v="400000"/>
    <n v="0"/>
    <n v="400000"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x v="0"/>
    <x v="0"/>
    <m/>
    <m/>
    <m/>
    <m/>
    <m/>
    <s v="пп.№2000"/>
    <s v="1 Расчетный счет"/>
    <d v="2017-01-19T00:00:00"/>
    <n v="300000"/>
    <m/>
    <m/>
    <n v="0"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x v="0"/>
    <x v="0"/>
    <m/>
    <d v="2017-03-13T00:00:00"/>
    <s v="на 11д"/>
    <n v="160000"/>
    <n v="32"/>
    <s v="нет оплаты"/>
    <m/>
    <m/>
    <n v="160000"/>
    <n v="160000"/>
    <n v="0"/>
    <n v="160000"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x v="0"/>
    <x v="0"/>
    <m/>
    <d v="2017-04-02T00:00:00"/>
    <s v="на 31д"/>
    <n v="240000"/>
    <n v="12"/>
    <s v="нет оплаты"/>
    <m/>
    <m/>
    <n v="240000"/>
    <n v="240000"/>
    <n v="0"/>
    <n v="240000"/>
  </r>
  <r>
    <s v="Строительство"/>
    <s v="исп."/>
    <x v="1"/>
    <s v="договор №45 Реконструкция СЦ Слуцк"/>
    <s v="ТКП №3"/>
    <m/>
    <d v="2017-01-21T00:00:00"/>
    <m/>
    <s v="BYN"/>
    <n v="1000000"/>
    <m/>
    <n v="1150000"/>
    <n v="500000"/>
    <m/>
    <m/>
    <x v="3"/>
    <x v="2"/>
    <n v="-150000"/>
    <m/>
    <m/>
    <m/>
    <m/>
    <m/>
    <m/>
    <m/>
    <m/>
    <m/>
    <m/>
    <m/>
  </r>
  <r>
    <s v="Строительство"/>
    <s v="исп."/>
    <x v="1"/>
    <s v="договор №45 Реконструкция СЦ Слуцк"/>
    <s v="ТКП №3"/>
    <s v="АКТ №3"/>
    <d v="2017-03-31T00:00:00"/>
    <d v="2017-04-04T00:00:00"/>
    <s v="BYN"/>
    <m/>
    <m/>
    <n v="1000000"/>
    <n v="500000"/>
    <n v="1"/>
    <n v="0.2"/>
    <x v="3"/>
    <x v="2"/>
    <m/>
    <m/>
    <m/>
    <m/>
    <m/>
    <m/>
    <m/>
    <m/>
    <n v="400000"/>
    <n v="500000"/>
    <n v="0"/>
    <n v="0"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x v="0"/>
    <x v="0"/>
    <m/>
    <m/>
    <m/>
    <m/>
    <m/>
    <s v="пп.№2002"/>
    <s v="1 Расчетный счет"/>
    <d v="2017-02-19T00:00:00"/>
    <n v="400000"/>
    <m/>
    <m/>
    <n v="0"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x v="0"/>
    <x v="0"/>
    <m/>
    <m/>
    <s v="не распределен аванс"/>
    <m/>
    <m/>
    <m/>
    <m/>
    <m/>
    <n v="100000"/>
    <m/>
    <n v="0"/>
    <n v="0"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x v="0"/>
    <x v="0"/>
    <m/>
    <d v="2017-04-15T00:00:00"/>
    <s v="на 11д"/>
    <n v="200000"/>
    <n v="-1"/>
    <s v="нет оплаты"/>
    <m/>
    <m/>
    <n v="200000"/>
    <n v="200000"/>
    <n v="0"/>
    <n v="0"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x v="0"/>
    <x v="0"/>
    <m/>
    <d v="2017-05-05T00:00:00"/>
    <s v="на 31д"/>
    <n v="300000"/>
    <n v="-21"/>
    <s v="нет оплаты"/>
    <m/>
    <m/>
    <n v="300000"/>
    <n v="300000"/>
    <n v="0"/>
    <n v="0"/>
  </r>
  <r>
    <s v="Строительство"/>
    <s v="исп."/>
    <x v="1"/>
    <s v="договор №45 Реконструкция СЦ Слуцк"/>
    <s v="ТКП №3"/>
    <s v="ТТН №28818"/>
    <d v="2017-03-31T00:00:00"/>
    <m/>
    <s v="BYN"/>
    <m/>
    <m/>
    <n v="150000"/>
    <m/>
    <n v="1"/>
    <n v="0.2"/>
    <x v="3"/>
    <x v="2"/>
    <m/>
    <m/>
    <m/>
    <m/>
    <m/>
    <m/>
    <m/>
    <m/>
    <n v="0"/>
    <n v="150000"/>
    <n v="0"/>
    <n v="60000"/>
  </r>
  <r>
    <s v="Строительство"/>
    <s v="исп."/>
    <x v="1"/>
    <s v="договор №45 Реконструкция СЦ Слуцк"/>
    <s v="ТКП №3"/>
    <s v="ТТН №28818"/>
    <d v="2017-03-31T00:00:00"/>
    <m/>
    <m/>
    <m/>
    <m/>
    <m/>
    <m/>
    <m/>
    <m/>
    <x v="0"/>
    <x v="0"/>
    <m/>
    <d v="2017-04-11T00:00:00"/>
    <s v="на 11д"/>
    <n v="60000"/>
    <n v="3"/>
    <s v="нет оплаты"/>
    <m/>
    <m/>
    <n v="60000"/>
    <n v="60000"/>
    <n v="0"/>
    <n v="60000"/>
  </r>
  <r>
    <s v="Строительство"/>
    <s v="исп."/>
    <x v="1"/>
    <s v="договор №45 Реконструкция СЦ Слуцк"/>
    <s v="ТКП №3"/>
    <s v="ТТН №28818"/>
    <d v="2017-03-31T00:00:00"/>
    <m/>
    <m/>
    <m/>
    <m/>
    <m/>
    <m/>
    <m/>
    <m/>
    <x v="0"/>
    <x v="0"/>
    <m/>
    <d v="2017-05-01T00:00:00"/>
    <s v="на 31д"/>
    <n v="90000"/>
    <n v="-17"/>
    <s v="нет оплаты"/>
    <m/>
    <m/>
    <n v="90000"/>
    <n v="90000"/>
    <n v="0"/>
    <n v="0"/>
  </r>
  <r>
    <s v="Строительство"/>
    <s v="исп."/>
    <x v="1"/>
    <s v="договор №45 Реконструкция СЦ Слуцк"/>
    <s v="ТКП №4"/>
    <m/>
    <d v="2017-01-21T00:00:00"/>
    <m/>
    <s v="BYN"/>
    <n v="2000000"/>
    <m/>
    <m/>
    <m/>
    <m/>
    <m/>
    <x v="4"/>
    <x v="4"/>
    <n v="2000000"/>
    <m/>
    <m/>
    <m/>
    <m/>
    <m/>
    <m/>
    <m/>
    <m/>
    <m/>
    <m/>
    <m/>
  </r>
  <r>
    <s v="Строительство"/>
    <s v="исп."/>
    <x v="1"/>
    <s v="договор №45 Реконструкция СЦ Слуцк"/>
    <s v="авансовый ФКП №1"/>
    <m/>
    <d v="2017-01-21T00:00:00"/>
    <m/>
    <s v="BYN"/>
    <m/>
    <m/>
    <m/>
    <m/>
    <m/>
    <m/>
    <x v="0"/>
    <x v="0"/>
    <m/>
    <d v="2017-01-20T00:00:00"/>
    <s v="аванс"/>
    <n v="500000"/>
    <n v="-1"/>
    <s v="пп.№2000"/>
    <s v="1 Расчетный счет"/>
    <d v="2017-01-19T00:00:00"/>
    <n v="500000"/>
    <n v="0"/>
    <n v="0"/>
    <n v="0"/>
  </r>
  <r>
    <s v="Строительство"/>
    <s v="исп."/>
    <x v="1"/>
    <s v="договор №45 Реконструкция СЦ Слуцк"/>
    <s v="авансовый ФКП №2"/>
    <m/>
    <d v="2017-01-21T00:00:00"/>
    <m/>
    <s v="BYN"/>
    <m/>
    <m/>
    <m/>
    <m/>
    <m/>
    <m/>
    <x v="0"/>
    <x v="0"/>
    <m/>
    <d v="2017-02-20T00:00:00"/>
    <s v="аванс"/>
    <n v="500000"/>
    <n v="-1"/>
    <s v="пп.№2002"/>
    <s v="1 Расчетный счет"/>
    <d v="2017-02-19T00:00:00"/>
    <n v="400000"/>
    <n v="0"/>
    <n v="0"/>
    <n v="0"/>
  </r>
  <r>
    <s v="Строительство"/>
    <s v="исп."/>
    <x v="1"/>
    <s v="договор №45 Реконструкция СЦ Слуцк"/>
    <s v="авансовый ФКП №2"/>
    <m/>
    <m/>
    <m/>
    <m/>
    <m/>
    <m/>
    <m/>
    <m/>
    <m/>
    <m/>
    <x v="0"/>
    <x v="0"/>
    <m/>
    <d v="2017-02-20T00:00:00"/>
    <s v="аванс"/>
    <m/>
    <n v="27"/>
    <s v="пп.№2003"/>
    <s v="1 Расчетный счет"/>
    <d v="2017-03-19T00:00:00"/>
    <n v="100000"/>
    <n v="0"/>
    <n v="0"/>
    <n v="0"/>
  </r>
  <r>
    <s v="Строительство"/>
    <s v="исп."/>
    <x v="1"/>
    <s v="договор №45 Реконструкция СЦ Слуцк"/>
    <s v="авансовый ФКП №3"/>
    <m/>
    <m/>
    <m/>
    <m/>
    <m/>
    <m/>
    <m/>
    <m/>
    <m/>
    <m/>
    <x v="0"/>
    <x v="0"/>
    <m/>
    <d v="2017-03-20T00:00:00"/>
    <s v="аванс"/>
    <n v="500000"/>
    <n v="-1"/>
    <s v="пп.№2003"/>
    <s v="1 Расчетный счет"/>
    <d v="2017-03-19T00:00:00"/>
    <n v="500000"/>
    <n v="0"/>
    <n v="0"/>
    <n v="0"/>
  </r>
  <r>
    <s v="Строительство"/>
    <s v="исп."/>
    <x v="1"/>
    <s v="договор №45 Реконструкция СЦ Слуцк"/>
    <s v="авансовый ФКП №4"/>
    <m/>
    <d v="2017-01-21T00:00:00"/>
    <m/>
    <s v="BYN"/>
    <m/>
    <m/>
    <m/>
    <m/>
    <m/>
    <m/>
    <x v="0"/>
    <x v="0"/>
    <m/>
    <d v="2017-04-20T00:00:00"/>
    <s v="аванс"/>
    <n v="1000000"/>
    <n v="-16"/>
    <s v="пп.№2004"/>
    <s v="1 Расчетный счет"/>
    <d v="2017-04-04T00:00:00"/>
    <n v="500000"/>
    <n v="0"/>
    <n v="0"/>
    <n v="0"/>
  </r>
  <r>
    <s v="Строительство"/>
    <s v="исп."/>
    <x v="1"/>
    <s v="договор №45 Реконструкция СЦ Слуцк"/>
    <m/>
    <m/>
    <m/>
    <m/>
    <m/>
    <m/>
    <m/>
    <m/>
    <m/>
    <m/>
    <m/>
    <x v="0"/>
    <x v="0"/>
    <m/>
    <d v="2017-04-20T00:00:00"/>
    <s v="аванс"/>
    <m/>
    <n v="-6"/>
    <s v="нет оплаты"/>
    <m/>
    <m/>
    <n v="500000"/>
    <n v="500000"/>
    <n v="500000"/>
    <n v="0"/>
  </r>
  <r>
    <s v="Строительство"/>
    <s v="исп."/>
    <x v="1"/>
    <s v="договор №45 Реконструкция СЦ Слуцк"/>
    <m/>
    <m/>
    <m/>
    <m/>
    <m/>
    <m/>
    <m/>
    <m/>
    <m/>
    <m/>
    <m/>
    <x v="0"/>
    <x v="0"/>
    <m/>
    <m/>
    <s v="не распределены платежи"/>
    <m/>
    <m/>
    <s v="пп.№2003"/>
    <s v="1 Расчетный счет"/>
    <d v="2017-03-19T00:00:00"/>
    <n v="600000"/>
    <n v="0"/>
    <n v="0"/>
    <n v="0"/>
  </r>
  <r>
    <s v="Строительство"/>
    <s v="исп."/>
    <x v="1"/>
    <s v="договор №45 Реконструкция СЦ Слуцк"/>
    <m/>
    <m/>
    <m/>
    <m/>
    <m/>
    <m/>
    <m/>
    <m/>
    <m/>
    <m/>
    <m/>
    <x v="0"/>
    <x v="0"/>
    <m/>
    <m/>
    <m/>
    <m/>
    <m/>
    <s v="пп.№2004"/>
    <s v="1 Расчетный счет"/>
    <d v="2017-04-04T00:00:00"/>
    <n v="500000"/>
    <n v="0"/>
    <n v="0"/>
    <n v="0"/>
  </r>
  <r>
    <s v="Закупка"/>
    <m/>
    <x v="0"/>
    <m/>
    <m/>
    <m/>
    <m/>
    <m/>
    <m/>
    <n v="15000000"/>
    <n v="0"/>
    <n v="5500000"/>
    <n v="0"/>
    <m/>
    <m/>
    <x v="0"/>
    <x v="0"/>
    <n v="9500000"/>
    <m/>
    <m/>
    <m/>
    <m/>
    <m/>
    <m/>
    <m/>
    <n v="3900000"/>
    <n v="4080000"/>
    <n v="1000000"/>
    <n v="4080000"/>
  </r>
  <r>
    <s v="Закупка"/>
    <m/>
    <x v="2"/>
    <m/>
    <m/>
    <m/>
    <m/>
    <m/>
    <m/>
    <n v="5000000"/>
    <n v="0"/>
    <n v="2000000"/>
    <n v="0"/>
    <m/>
    <m/>
    <x v="0"/>
    <x v="0"/>
    <n v="3000000"/>
    <m/>
    <m/>
    <m/>
    <m/>
    <m/>
    <m/>
    <m/>
    <n v="800000"/>
    <n v="1200000"/>
    <n v="0"/>
    <n v="1200000"/>
  </r>
  <r>
    <s v="Закупка"/>
    <s v="исп."/>
    <x v="2"/>
    <s v="договор №58, кабельная продукция(Беларускабель)"/>
    <m/>
    <m/>
    <d v="2017-01-21T00:00:00"/>
    <m/>
    <s v="BYN"/>
    <n v="5000000"/>
    <n v="0"/>
    <n v="2000000"/>
    <n v="0"/>
    <m/>
    <n v="0.2"/>
    <x v="0"/>
    <x v="0"/>
    <n v="3000000"/>
    <m/>
    <m/>
    <m/>
    <m/>
    <m/>
    <m/>
    <m/>
    <n v="800000"/>
    <n v="1200000"/>
    <n v="0"/>
    <n v="1200000"/>
  </r>
  <r>
    <s v="Закупка"/>
    <s v="исп."/>
    <x v="2"/>
    <s v="договор №58, кабельная продукция(Беларускабель)"/>
    <s v="ТКП №1"/>
    <m/>
    <d v="2017-01-21T00:00:00"/>
    <m/>
    <s v="BYN"/>
    <n v="1000000"/>
    <n v="0"/>
    <n v="950000"/>
    <n v="0"/>
    <m/>
    <m/>
    <x v="1"/>
    <x v="1"/>
    <n v="50000"/>
    <m/>
    <m/>
    <m/>
    <m/>
    <m/>
    <m/>
    <m/>
    <m/>
    <m/>
    <m/>
    <m/>
  </r>
  <r>
    <s v="Закупка"/>
    <s v="исп."/>
    <x v="2"/>
    <s v="договор №58, кабельная продукция(Беларускабель)"/>
    <s v="ТКП №1"/>
    <s v="ТТН №5"/>
    <d v="2017-01-10T00:00:00"/>
    <m/>
    <s v="BYN"/>
    <m/>
    <m/>
    <n v="500000"/>
    <m/>
    <n v="1"/>
    <n v="0.2"/>
    <x v="1"/>
    <x v="2"/>
    <m/>
    <m/>
    <m/>
    <m/>
    <m/>
    <m/>
    <m/>
    <m/>
    <m/>
    <n v="0"/>
    <n v="0"/>
    <n v="0"/>
  </r>
  <r>
    <s v="Закупка"/>
    <s v="исп."/>
    <x v="2"/>
    <s v="договор №58, кабельная продукция(Беларускабель)"/>
    <s v="ТКП №1"/>
    <s v="ТТН №5"/>
    <d v="2017-01-10T00:00:00"/>
    <m/>
    <m/>
    <m/>
    <m/>
    <m/>
    <m/>
    <m/>
    <m/>
    <x v="0"/>
    <x v="0"/>
    <m/>
    <d v="2017-01-21T00:00:00"/>
    <s v="на 11д"/>
    <n v="200000"/>
    <n v="20"/>
    <s v="пп.№1001"/>
    <s v="1 Расчетный счет"/>
    <d v="2017-02-10T00:00:00"/>
    <n v="200000"/>
    <n v="0"/>
    <n v="0"/>
    <n v="0"/>
  </r>
  <r>
    <s v="Закупка"/>
    <s v="исп."/>
    <x v="2"/>
    <s v="договор №58, кабельная продукция(Беларускабель)"/>
    <s v="ТКП №1"/>
    <s v="ТТН №5"/>
    <d v="2017-01-10T00:00:00"/>
    <m/>
    <m/>
    <m/>
    <m/>
    <m/>
    <m/>
    <m/>
    <m/>
    <x v="0"/>
    <x v="0"/>
    <m/>
    <d v="2017-02-10T00:00:00"/>
    <s v="на 31д"/>
    <n v="300000"/>
    <n v="0"/>
    <s v="пп.№1001"/>
    <s v="1 Расчетный счет"/>
    <d v="2017-02-10T00:00:00"/>
    <n v="300000"/>
    <n v="0"/>
    <n v="0"/>
    <n v="0"/>
  </r>
  <r>
    <s v="Закупка"/>
    <s v="исп."/>
    <x v="2"/>
    <s v="договор №58, кабельная продукция(Беларускабель)"/>
    <s v="ТКП №1"/>
    <s v="ТТН №7"/>
    <d v="2017-01-12T00:00:00"/>
    <m/>
    <s v="BYN"/>
    <m/>
    <m/>
    <n v="450000"/>
    <m/>
    <n v="1"/>
    <n v="0.2"/>
    <x v="1"/>
    <x v="5"/>
    <m/>
    <m/>
    <m/>
    <m/>
    <m/>
    <m/>
    <m/>
    <m/>
    <m/>
    <n v="150000"/>
    <n v="0"/>
    <n v="150000"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x v="0"/>
    <x v="0"/>
    <m/>
    <d v="2017-01-23T00:00:00"/>
    <s v="на 11д"/>
    <n v="180000"/>
    <n v="20"/>
    <s v="пп.№1002"/>
    <s v="1 Расчетный счет"/>
    <d v="2017-02-12T00:00:00"/>
    <n v="180000"/>
    <m/>
    <m/>
    <m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x v="0"/>
    <x v="0"/>
    <m/>
    <d v="2017-02-12T00:00:00"/>
    <s v="на 31д"/>
    <n v="270000"/>
    <n v="0"/>
    <s v="пп.№1002"/>
    <s v="1 Расчетный счет"/>
    <d v="2017-02-12T00:00:00"/>
    <n v="120000"/>
    <n v="0"/>
    <n v="0"/>
    <n v="0"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x v="0"/>
    <x v="0"/>
    <m/>
    <d v="2017-02-12T00:00:00"/>
    <m/>
    <m/>
    <m/>
    <s v="нет оплаты"/>
    <m/>
    <m/>
    <n v="150000"/>
    <n v="150000"/>
    <n v="0"/>
    <n v="150000"/>
  </r>
  <r>
    <s v="Закупка"/>
    <s v="исп."/>
    <x v="2"/>
    <s v="договор №58, кабельная продукция(Беларускабель)"/>
    <s v="ТКП №2"/>
    <m/>
    <d v="2017-01-21T00:00:00"/>
    <m/>
    <s v="BYN"/>
    <n v="1000000"/>
    <m/>
    <n v="1050000"/>
    <n v="0"/>
    <m/>
    <m/>
    <x v="2"/>
    <x v="2"/>
    <n v="-50000"/>
    <m/>
    <m/>
    <m/>
    <m/>
    <m/>
    <m/>
    <m/>
    <m/>
    <m/>
    <m/>
    <m/>
  </r>
  <r>
    <s v="Закупка"/>
    <s v="исп."/>
    <x v="2"/>
    <s v="договор №58, кабельная продукция(Беларускабель)"/>
    <s v="ТКП №2"/>
    <s v="ТТН №9"/>
    <d v="2017-02-10T00:00:00"/>
    <m/>
    <s v="BYN"/>
    <m/>
    <m/>
    <n v="1050000"/>
    <m/>
    <n v="1"/>
    <n v="0.2"/>
    <x v="2"/>
    <x v="6"/>
    <m/>
    <m/>
    <m/>
    <m/>
    <m/>
    <m/>
    <m/>
    <m/>
    <m/>
    <n v="1050000"/>
    <n v="0"/>
    <n v="1050000"/>
  </r>
  <r>
    <s v="Закупка"/>
    <s v="исп."/>
    <x v="2"/>
    <s v="договор №58, кабельная продукция(Беларускабель)"/>
    <s v="ТКП №2"/>
    <s v="ТТН №9"/>
    <d v="2017-02-10T00:00:00"/>
    <m/>
    <m/>
    <m/>
    <m/>
    <m/>
    <m/>
    <m/>
    <m/>
    <x v="0"/>
    <x v="0"/>
    <m/>
    <d v="2017-02-21T00:00:00"/>
    <s v="на 11д"/>
    <n v="420000"/>
    <n v="52"/>
    <s v="нет оплаты"/>
    <m/>
    <m/>
    <n v="420000"/>
    <n v="420000"/>
    <n v="0"/>
    <n v="420000"/>
  </r>
  <r>
    <s v="Закупка"/>
    <s v="исп."/>
    <x v="2"/>
    <s v="договор №58, кабельная продукция(Беларускабель)"/>
    <s v="ТКП №2"/>
    <s v="ТТН №9"/>
    <d v="2017-02-10T00:00:00"/>
    <m/>
    <m/>
    <m/>
    <m/>
    <m/>
    <m/>
    <m/>
    <m/>
    <x v="0"/>
    <x v="0"/>
    <m/>
    <d v="2017-03-13T00:00:00"/>
    <s v="на 31д"/>
    <n v="630000"/>
    <n v="32"/>
    <s v="нет оплаты"/>
    <m/>
    <m/>
    <n v="630000"/>
    <n v="630000"/>
    <n v="0"/>
    <n v="630000"/>
  </r>
  <r>
    <s v="Закупка"/>
    <s v="исп."/>
    <x v="2"/>
    <s v="договор №58, кабельная продукция(Беларускабель)"/>
    <s v="ТКП №3"/>
    <m/>
    <d v="2017-01-21T00:00:00"/>
    <m/>
    <s v="BYN"/>
    <n v="1000000"/>
    <m/>
    <m/>
    <m/>
    <m/>
    <m/>
    <x v="3"/>
    <x v="7"/>
    <n v="1000000"/>
    <m/>
    <m/>
    <m/>
    <m/>
    <m/>
    <m/>
    <m/>
    <m/>
    <m/>
    <m/>
    <m/>
  </r>
  <r>
    <s v="Закупка"/>
    <s v="исп."/>
    <x v="2"/>
    <s v="договор №58, кабельная продукция(Беларускабель)"/>
    <s v="ТКП №4"/>
    <m/>
    <d v="2017-01-21T00:00:00"/>
    <m/>
    <s v="BYN"/>
    <n v="2000000"/>
    <m/>
    <m/>
    <m/>
    <m/>
    <m/>
    <x v="4"/>
    <x v="4"/>
    <n v="2000000"/>
    <m/>
    <m/>
    <m/>
    <m/>
    <m/>
    <m/>
    <m/>
    <m/>
    <m/>
    <m/>
    <m/>
  </r>
  <r>
    <m/>
    <m/>
    <x v="0"/>
    <m/>
    <m/>
    <m/>
    <m/>
    <m/>
    <m/>
    <m/>
    <m/>
    <m/>
    <m/>
    <m/>
    <m/>
    <x v="0"/>
    <x v="0"/>
    <m/>
    <m/>
    <m/>
    <m/>
    <m/>
    <m/>
    <m/>
    <m/>
    <m/>
    <m/>
    <m/>
    <m/>
  </r>
  <r>
    <m/>
    <s v="Если в договоре:"/>
    <x v="0"/>
    <m/>
    <s v="отсутствуют ТКП и/или ФКП(либо их статус не исполняемый), либо ситуация, когда ТКП и/или ФКП превышают/меньше суммы договора"/>
    <m/>
    <m/>
    <m/>
    <m/>
    <m/>
    <m/>
    <m/>
    <m/>
    <m/>
    <m/>
    <x v="0"/>
    <x v="0"/>
    <m/>
    <m/>
    <m/>
    <m/>
    <m/>
    <m/>
    <m/>
    <m/>
    <m/>
    <m/>
    <m/>
    <m/>
  </r>
  <r>
    <m/>
    <s v="Тогда отчет по договору выглядит следующим образом:"/>
    <x v="0"/>
    <m/>
    <m/>
    <m/>
    <m/>
    <m/>
    <m/>
    <m/>
    <m/>
    <m/>
    <m/>
    <m/>
    <m/>
    <x v="0"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  <x v="0"/>
    <x v="0"/>
    <m/>
    <m/>
    <m/>
    <m/>
    <m/>
    <m/>
    <m/>
    <m/>
    <m/>
    <m/>
    <m/>
    <m/>
  </r>
  <r>
    <s v="Закупка"/>
    <m/>
    <x v="3"/>
    <m/>
    <m/>
    <m/>
    <m/>
    <m/>
    <m/>
    <n v="5000000"/>
    <n v="0"/>
    <n v="1000000"/>
    <n v="0"/>
    <m/>
    <m/>
    <x v="0"/>
    <x v="0"/>
    <n v="4000000"/>
    <m/>
    <m/>
    <m/>
    <m/>
    <m/>
    <m/>
    <m/>
    <n v="600000"/>
    <n v="880000"/>
    <n v="0"/>
    <n v="880000"/>
  </r>
  <r>
    <s v="Закупка"/>
    <s v="исп."/>
    <x v="3"/>
    <s v="договор №112, шкафы ОРШ"/>
    <m/>
    <m/>
    <d v="2017-01-21T00:00:00"/>
    <m/>
    <s v="BYN"/>
    <n v="5000000"/>
    <n v="0"/>
    <n v="1000000"/>
    <n v="0"/>
    <m/>
    <n v="0.2"/>
    <x v="0"/>
    <x v="0"/>
    <n v="4000000"/>
    <m/>
    <m/>
    <m/>
    <m/>
    <m/>
    <m/>
    <m/>
    <n v="600000"/>
    <n v="880000"/>
    <n v="0"/>
    <n v="880000"/>
  </r>
  <r>
    <s v="Закупка"/>
    <s v="исп."/>
    <x v="3"/>
    <s v="договор №112, шкафы ОРШ"/>
    <s v="всего не определено ТКП"/>
    <m/>
    <m/>
    <m/>
    <m/>
    <n v="5000000"/>
    <m/>
    <m/>
    <m/>
    <m/>
    <m/>
    <x v="0"/>
    <x v="0"/>
    <m/>
    <m/>
    <m/>
    <m/>
    <m/>
    <m/>
    <m/>
    <m/>
    <m/>
    <m/>
    <m/>
    <n v="0"/>
  </r>
  <r>
    <s v="Закупка"/>
    <s v="исп."/>
    <x v="3"/>
    <s v="договор №112, шкафы ОРШ"/>
    <s v="не определено ТКП"/>
    <s v="ТТН №5"/>
    <d v="2017-01-10T00:00:00"/>
    <m/>
    <s v="BYN"/>
    <m/>
    <m/>
    <n v="500000"/>
    <m/>
    <n v="1"/>
    <n v="0.2"/>
    <x v="0"/>
    <x v="0"/>
    <m/>
    <m/>
    <m/>
    <m/>
    <m/>
    <m/>
    <m/>
    <m/>
    <n v="120000"/>
    <n v="380000"/>
    <n v="0"/>
    <n v="380000"/>
  </r>
  <r>
    <s v="Закупка"/>
    <s v="исп."/>
    <x v="3"/>
    <s v="договор №112, шкафы ОРШ"/>
    <s v="не определено ТКП"/>
    <s v="ТТН №5"/>
    <d v="2017-01-10T00:00:00"/>
    <m/>
    <m/>
    <m/>
    <m/>
    <m/>
    <m/>
    <m/>
    <m/>
    <x v="0"/>
    <x v="0"/>
    <m/>
    <m/>
    <s v="не определено ФКП"/>
    <m/>
    <m/>
    <s v="пп.№1002"/>
    <s v="1 Расчетный счет"/>
    <d v="2017-02-12T00:00:00"/>
    <n v="120000"/>
    <n v="0"/>
    <n v="0"/>
    <n v="0"/>
  </r>
  <r>
    <s v="Закупка"/>
    <s v="исп."/>
    <x v="3"/>
    <s v="договор №112, шкафы ОРШ"/>
    <s v="не определено ТКП"/>
    <s v="ТТН №5"/>
    <d v="2017-01-10T00:00:00"/>
    <m/>
    <m/>
    <m/>
    <m/>
    <m/>
    <m/>
    <m/>
    <m/>
    <x v="0"/>
    <x v="0"/>
    <m/>
    <m/>
    <s v="не определено ФКП"/>
    <m/>
    <m/>
    <s v="нет оплаты"/>
    <m/>
    <m/>
    <n v="380000"/>
    <n v="380000"/>
    <n v="0"/>
    <n v="380000"/>
  </r>
  <r>
    <s v="Закупка"/>
    <s v="исп."/>
    <x v="3"/>
    <s v="договор №112, шкафы ОРШ"/>
    <s v="не определено ТКП"/>
    <s v="ТТН №7"/>
    <d v="2017-01-12T00:00:00"/>
    <m/>
    <s v="BYN"/>
    <m/>
    <m/>
    <n v="450000"/>
    <m/>
    <n v="1"/>
    <n v="0.2"/>
    <x v="0"/>
    <x v="0"/>
    <m/>
    <m/>
    <m/>
    <m/>
    <m/>
    <m/>
    <m/>
    <m/>
    <n v="0"/>
    <n v="450000"/>
    <n v="0"/>
    <n v="450000"/>
  </r>
  <r>
    <s v="Закупка"/>
    <s v="исп."/>
    <x v="3"/>
    <s v="договор №112, шкафы ОРШ"/>
    <s v="не определено ТКП"/>
    <s v="ТТН №7"/>
    <d v="2017-01-12T00:00:00"/>
    <m/>
    <m/>
    <m/>
    <m/>
    <m/>
    <m/>
    <m/>
    <m/>
    <x v="0"/>
    <x v="0"/>
    <m/>
    <m/>
    <s v="не определено ФКП"/>
    <m/>
    <m/>
    <s v="нет оплаты"/>
    <m/>
    <m/>
    <n v="450000"/>
    <n v="450000"/>
    <n v="0"/>
    <n v="450000"/>
  </r>
  <r>
    <s v="Закупка"/>
    <s v="исп."/>
    <x v="3"/>
    <s v="договор №112, шкафы ОРШ"/>
    <s v="не определено ТКП"/>
    <s v="ТТН №9"/>
    <d v="2017-02-03T00:00:00"/>
    <m/>
    <s v="BYN"/>
    <m/>
    <m/>
    <n v="50000"/>
    <m/>
    <n v="1"/>
    <n v="0.2"/>
    <x v="0"/>
    <x v="0"/>
    <m/>
    <m/>
    <m/>
    <m/>
    <m/>
    <m/>
    <m/>
    <m/>
    <n v="0"/>
    <n v="50000"/>
    <n v="0"/>
    <n v="50000"/>
  </r>
  <r>
    <s v="Закупка"/>
    <s v="исп."/>
    <x v="3"/>
    <s v="договор №112, шкафы ОРШ"/>
    <s v="не определено ТКП"/>
    <s v="ТТН №9"/>
    <d v="2017-02-03T00:00:00"/>
    <m/>
    <m/>
    <m/>
    <m/>
    <m/>
    <m/>
    <m/>
    <m/>
    <x v="0"/>
    <x v="0"/>
    <m/>
    <m/>
    <s v="не определено ФКП"/>
    <m/>
    <m/>
    <s v="нет оплаты"/>
    <m/>
    <m/>
    <n v="50000"/>
    <n v="50000"/>
    <n v="0"/>
    <n v="50000"/>
  </r>
  <r>
    <s v="Закупка"/>
    <s v="исп."/>
    <x v="3"/>
    <s v="договор №112, шкафы ОРШ"/>
    <m/>
    <m/>
    <m/>
    <m/>
    <m/>
    <m/>
    <m/>
    <m/>
    <m/>
    <m/>
    <m/>
    <x v="0"/>
    <x v="0"/>
    <m/>
    <m/>
    <s v="всего не определено ФКП"/>
    <n v="5000000"/>
    <m/>
    <m/>
    <m/>
    <m/>
    <m/>
    <n v="0"/>
    <n v="0"/>
    <n v="0"/>
  </r>
  <r>
    <s v="Закупка"/>
    <s v="исп."/>
    <x v="3"/>
    <s v="договор №112, шкафы ОРШ"/>
    <m/>
    <m/>
    <m/>
    <m/>
    <m/>
    <m/>
    <m/>
    <m/>
    <m/>
    <m/>
    <m/>
    <x v="0"/>
    <x v="0"/>
    <m/>
    <m/>
    <s v="не распределены платежи"/>
    <m/>
    <m/>
    <s v="пп.№8002"/>
    <s v="1 Расчетный счет"/>
    <d v="2017-02-22T00:00:00"/>
    <n v="280000"/>
    <n v="0"/>
    <n v="0"/>
    <n v="0"/>
  </r>
  <r>
    <s v="Закупка"/>
    <s v="исп."/>
    <x v="3"/>
    <s v="договор №112, шкафы ОРШ"/>
    <m/>
    <m/>
    <m/>
    <m/>
    <m/>
    <m/>
    <m/>
    <m/>
    <m/>
    <m/>
    <m/>
    <x v="0"/>
    <x v="0"/>
    <m/>
    <m/>
    <m/>
    <m/>
    <m/>
    <s v="пп.№8003"/>
    <s v="1 Расчетный счет"/>
    <d v="2017-03-12T00:00:00"/>
    <n v="200000"/>
    <n v="0"/>
    <n v="0"/>
    <n v="0"/>
  </r>
  <r>
    <m/>
    <m/>
    <x v="0"/>
    <m/>
    <m/>
    <m/>
    <m/>
    <m/>
    <m/>
    <m/>
    <m/>
    <m/>
    <m/>
    <m/>
    <m/>
    <x v="0"/>
    <x v="0"/>
    <m/>
    <m/>
    <m/>
    <m/>
    <m/>
    <m/>
    <m/>
    <m/>
    <m/>
    <m/>
    <m/>
    <m/>
  </r>
  <r>
    <m/>
    <m/>
    <x v="0"/>
    <m/>
    <s v="Если АКТ/ТТН не &quot;привязан&quot; к ТКП, то в ячейке перед соответствующим актом вставляем надпись &quot;не определено ТКП&quot;"/>
    <m/>
    <m/>
    <m/>
    <m/>
    <m/>
    <m/>
    <m/>
    <m/>
    <m/>
    <m/>
    <x v="0"/>
    <x v="0"/>
    <m/>
    <m/>
    <m/>
    <m/>
    <m/>
    <m/>
    <m/>
    <m/>
    <m/>
    <m/>
    <m/>
    <m/>
  </r>
  <r>
    <s v="Закупка"/>
    <m/>
    <x v="4"/>
    <m/>
    <m/>
    <m/>
    <m/>
    <m/>
    <m/>
    <n v="5000000"/>
    <n v="0"/>
    <n v="2500000"/>
    <n v="1000000"/>
    <m/>
    <m/>
    <x v="0"/>
    <x v="0"/>
    <n v="2500000"/>
    <m/>
    <m/>
    <m/>
    <m/>
    <m/>
    <m/>
    <m/>
    <n v="2500000"/>
    <n v="2000000"/>
    <n v="1000000"/>
    <n v="2000000"/>
  </r>
  <r>
    <s v="Закупка"/>
    <s v="исп."/>
    <x v="4"/>
    <s v="договор №41, оборудование DSLAM"/>
    <m/>
    <m/>
    <d v="2017-01-21T00:00:00"/>
    <m/>
    <s v="BYN"/>
    <n v="5000000"/>
    <n v="0"/>
    <n v="2500000"/>
    <n v="1000000"/>
    <m/>
    <n v="0.2"/>
    <x v="0"/>
    <x v="0"/>
    <n v="2500000"/>
    <m/>
    <m/>
    <m/>
    <m/>
    <m/>
    <m/>
    <m/>
    <n v="2500000"/>
    <n v="2000000"/>
    <n v="1000000"/>
    <n v="2000000"/>
  </r>
  <r>
    <s v="Закупка"/>
    <s v="исп."/>
    <x v="4"/>
    <s v="договор №41, оборудование DSLAM"/>
    <s v="ТКП №1"/>
    <m/>
    <d v="2017-01-21T00:00:00"/>
    <m/>
    <s v="BYN"/>
    <n v="1000000"/>
    <n v="0"/>
    <n v="1000000"/>
    <n v="500000"/>
    <m/>
    <m/>
    <x v="1"/>
    <x v="2"/>
    <n v="0"/>
    <m/>
    <m/>
    <m/>
    <m/>
    <m/>
    <m/>
    <m/>
    <m/>
    <m/>
    <n v="0"/>
    <n v="0"/>
  </r>
  <r>
    <s v="Закупка"/>
    <s v="исп."/>
    <x v="4"/>
    <s v="договор №41, оборудование DSLAM"/>
    <s v="ТКП №1"/>
    <s v="ТТН №1"/>
    <d v="2017-01-20T00:00:00"/>
    <m/>
    <s v="BYN"/>
    <m/>
    <m/>
    <n v="1000000"/>
    <n v="500000"/>
    <m/>
    <n v="0.2"/>
    <x v="1"/>
    <x v="2"/>
    <m/>
    <m/>
    <m/>
    <m/>
    <m/>
    <m/>
    <m/>
    <m/>
    <n v="1000000"/>
    <n v="0"/>
    <n v="0"/>
    <n v="0"/>
  </r>
  <r>
    <s v="Закупка"/>
    <s v="исп."/>
    <x v="4"/>
    <s v="договор №41, оборудование DSLAM"/>
    <s v="ТКП №1"/>
    <s v="ТТН №1"/>
    <d v="2017-01-20T00:00:00"/>
    <m/>
    <m/>
    <m/>
    <m/>
    <m/>
    <m/>
    <m/>
    <m/>
    <x v="0"/>
    <x v="0"/>
    <m/>
    <m/>
    <m/>
    <m/>
    <m/>
    <s v="пп.№2001"/>
    <s v="1 Расчетный счет"/>
    <d v="2017-01-10T00:00:00"/>
    <n v="500000"/>
    <n v="0"/>
    <n v="0"/>
    <n v="0"/>
  </r>
  <r>
    <s v="Закупка"/>
    <s v="исп."/>
    <x v="4"/>
    <s v="договор №41, оборудование DSLAM"/>
    <s v="ТКП №1"/>
    <s v="ТТН №1"/>
    <d v="2017-01-20T00:00:00"/>
    <m/>
    <m/>
    <m/>
    <m/>
    <m/>
    <m/>
    <m/>
    <m/>
    <x v="0"/>
    <x v="0"/>
    <m/>
    <d v="2017-02-20T00:00:00"/>
    <m/>
    <n v="500000"/>
    <n v="-10"/>
    <s v="пп.№1001"/>
    <s v="1 Расчетный счет"/>
    <d v="2017-02-10T00:00:00"/>
    <n v="500000"/>
    <n v="0"/>
    <n v="0"/>
    <n v="0"/>
  </r>
  <r>
    <s v="Закупка"/>
    <s v="исп."/>
    <x v="4"/>
    <s v="договор №41, оборудование DSLAM"/>
    <s v="ТКП №2"/>
    <m/>
    <d v="2017-01-21T00:00:00"/>
    <m/>
    <s v="BYN"/>
    <n v="1000000"/>
    <m/>
    <n v="1000000"/>
    <n v="500000"/>
    <m/>
    <m/>
    <x v="2"/>
    <x v="2"/>
    <n v="0"/>
    <m/>
    <m/>
    <m/>
    <m/>
    <m/>
    <m/>
    <m/>
    <m/>
    <n v="0"/>
    <n v="0"/>
    <n v="0"/>
  </r>
  <r>
    <s v="Закупка"/>
    <s v="исп."/>
    <x v="4"/>
    <s v="договор №41, оборудование DSLAM"/>
    <s v="ТКП №2"/>
    <s v="ТТН №2"/>
    <d v="2017-02-23T00:00:00"/>
    <m/>
    <s v="BYN"/>
    <m/>
    <m/>
    <n v="1000000"/>
    <n v="500000"/>
    <m/>
    <n v="0.2"/>
    <x v="2"/>
    <x v="8"/>
    <m/>
    <m/>
    <m/>
    <m/>
    <m/>
    <m/>
    <m/>
    <m/>
    <n v="500000"/>
    <n v="500000"/>
    <n v="0"/>
    <n v="500000"/>
  </r>
  <r>
    <s v="Закупка"/>
    <s v="исп."/>
    <x v="4"/>
    <s v="договор №41, оборудование DSLAM"/>
    <s v="ТКП №2"/>
    <s v="ТТН №2"/>
    <d v="2017-02-23T00:00:00"/>
    <m/>
    <m/>
    <m/>
    <m/>
    <m/>
    <m/>
    <m/>
    <m/>
    <x v="0"/>
    <x v="0"/>
    <m/>
    <m/>
    <m/>
    <m/>
    <m/>
    <s v="пп.№2002"/>
    <s v="1 Расчетный счет"/>
    <d v="2017-02-09T00:00:00"/>
    <n v="500000"/>
    <n v="0"/>
    <n v="0"/>
    <n v="0"/>
  </r>
  <r>
    <s v="Закупка"/>
    <s v="исп."/>
    <x v="4"/>
    <s v="договор №41, оборудование DSLAM"/>
    <s v="ТКП №2"/>
    <s v="ТТН №2"/>
    <d v="2017-02-23T00:00:00"/>
    <m/>
    <m/>
    <m/>
    <m/>
    <m/>
    <m/>
    <m/>
    <m/>
    <x v="0"/>
    <x v="0"/>
    <m/>
    <d v="2017-03-26T00:00:00"/>
    <m/>
    <n v="500000"/>
    <n v="19"/>
    <s v="нет оплаты"/>
    <m/>
    <m/>
    <n v="500000"/>
    <n v="500000"/>
    <n v="0"/>
    <n v="500000"/>
  </r>
  <r>
    <s v="Закупка"/>
    <s v="исп."/>
    <x v="4"/>
    <s v="договор №41, оборудование DSLAM"/>
    <s v="ТКП №3"/>
    <m/>
    <d v="2017-01-21T00:00:00"/>
    <m/>
    <s v="BYN"/>
    <n v="1000000"/>
    <m/>
    <m/>
    <m/>
    <m/>
    <m/>
    <x v="3"/>
    <x v="7"/>
    <n v="1000000"/>
    <m/>
    <m/>
    <m/>
    <m/>
    <m/>
    <m/>
    <m/>
    <m/>
    <n v="0"/>
    <n v="0"/>
    <n v="0"/>
  </r>
  <r>
    <s v="Закупка"/>
    <s v="исп."/>
    <x v="4"/>
    <s v="договор №41, оборудование DSLAM"/>
    <s v="ТКП №4"/>
    <m/>
    <d v="2017-01-21T00:00:00"/>
    <m/>
    <s v="BYN"/>
    <n v="1000000"/>
    <m/>
    <m/>
    <m/>
    <m/>
    <m/>
    <x v="4"/>
    <x v="4"/>
    <n v="1000000"/>
    <m/>
    <m/>
    <m/>
    <m/>
    <m/>
    <m/>
    <m/>
    <m/>
    <m/>
    <m/>
    <n v="0"/>
  </r>
  <r>
    <s v="Закупка"/>
    <s v="исп."/>
    <x v="4"/>
    <s v="договор №41, оборудование DSLAM"/>
    <s v="авансовый ФКП №1"/>
    <m/>
    <d v="2017-01-21T00:00:00"/>
    <m/>
    <s v="BYN"/>
    <m/>
    <m/>
    <m/>
    <m/>
    <m/>
    <m/>
    <x v="0"/>
    <x v="0"/>
    <m/>
    <d v="2017-01-10T00:00:00"/>
    <s v="аванс"/>
    <n v="0"/>
    <n v="0"/>
    <s v="пп.№2001"/>
    <s v="1 Расчетный счет"/>
    <d v="2017-01-10T00:00:00"/>
    <n v="500000"/>
    <n v="0"/>
    <n v="0"/>
    <n v="0"/>
  </r>
  <r>
    <s v="Закупка"/>
    <s v="исп."/>
    <x v="4"/>
    <s v="договор №41, оборудование DSLAM"/>
    <s v="авансовый ФКП №2"/>
    <m/>
    <d v="2017-01-21T00:00:00"/>
    <m/>
    <s v="BYN"/>
    <m/>
    <m/>
    <m/>
    <m/>
    <m/>
    <m/>
    <x v="0"/>
    <x v="0"/>
    <m/>
    <d v="2017-02-10T00:00:00"/>
    <s v="аванс"/>
    <n v="0"/>
    <n v="-1"/>
    <s v="пп.№2002"/>
    <s v="1 Расчетный счет"/>
    <d v="2017-02-09T00:00:00"/>
    <n v="500000"/>
    <n v="0"/>
    <n v="0"/>
    <n v="0"/>
  </r>
  <r>
    <s v="Закупка"/>
    <s v="исп."/>
    <x v="4"/>
    <s v="договор №41, оборудование DSLAM"/>
    <s v="авансовый ФКП №3"/>
    <m/>
    <d v="2017-01-21T00:00:00"/>
    <m/>
    <s v="BYN"/>
    <m/>
    <m/>
    <m/>
    <m/>
    <m/>
    <m/>
    <x v="0"/>
    <x v="0"/>
    <m/>
    <d v="2017-03-10T00:00:00"/>
    <s v="аванс"/>
    <n v="0"/>
    <n v="35"/>
    <s v="нет оплаты"/>
    <m/>
    <m/>
    <n v="500000"/>
    <n v="500000"/>
    <n v="500000"/>
    <n v="500000"/>
  </r>
  <r>
    <s v="Закупка"/>
    <s v="исп."/>
    <x v="4"/>
    <s v="договор №41, оборудование DSLAM"/>
    <s v="авансовый ФКП №4"/>
    <m/>
    <d v="2017-01-21T00:00:00"/>
    <m/>
    <s v="BYN"/>
    <m/>
    <m/>
    <m/>
    <m/>
    <m/>
    <m/>
    <x v="0"/>
    <x v="0"/>
    <m/>
    <d v="2017-04-10T00:00:00"/>
    <s v="аванс"/>
    <n v="0"/>
    <n v="4"/>
    <s v="нет оплаты"/>
    <m/>
    <m/>
    <n v="500000"/>
    <n v="500000"/>
    <n v="500000"/>
    <n v="500000"/>
  </r>
  <r>
    <s v="Закупка"/>
    <s v="исп."/>
    <x v="4"/>
    <s v="договор №41, оборудование DSLAM"/>
    <s v="не определено ТКП"/>
    <s v="ТТН №7"/>
    <d v="2017-03-12T00:00:00"/>
    <m/>
    <s v="BYN"/>
    <m/>
    <m/>
    <n v="500000"/>
    <m/>
    <m/>
    <n v="0.2"/>
    <x v="0"/>
    <x v="0"/>
    <m/>
    <m/>
    <m/>
    <m/>
    <m/>
    <m/>
    <m/>
    <m/>
    <n v="0"/>
    <n v="500000"/>
    <n v="0"/>
    <n v="500000"/>
  </r>
  <r>
    <s v="Закупка"/>
    <s v="исп."/>
    <x v="4"/>
    <s v="договор №41, оборудование DSLAM"/>
    <s v="не определено ТКП"/>
    <s v="ТТН №7"/>
    <d v="2017-03-12T00:00:00"/>
    <m/>
    <m/>
    <m/>
    <m/>
    <m/>
    <m/>
    <m/>
    <m/>
    <x v="0"/>
    <x v="0"/>
    <m/>
    <m/>
    <s v="не определено ФКП"/>
    <m/>
    <m/>
    <s v="нет оплаты"/>
    <m/>
    <m/>
    <n v="500000"/>
    <n v="500000"/>
    <n v="0"/>
    <n v="500000"/>
  </r>
  <r>
    <s v="Закупка"/>
    <s v="исп."/>
    <x v="4"/>
    <s v="договор №41, оборудование DSLAM"/>
    <s v="всего не определено ТКП"/>
    <m/>
    <m/>
    <m/>
    <m/>
    <n v="1000000"/>
    <m/>
    <m/>
    <m/>
    <m/>
    <m/>
    <x v="0"/>
    <x v="0"/>
    <m/>
    <m/>
    <m/>
    <m/>
    <m/>
    <m/>
    <m/>
    <m/>
    <m/>
    <m/>
    <m/>
    <n v="0"/>
  </r>
  <r>
    <s v="Закупка"/>
    <s v="исп."/>
    <x v="4"/>
    <s v="договор №41, оборудование DSLAM"/>
    <m/>
    <m/>
    <m/>
    <m/>
    <m/>
    <m/>
    <m/>
    <m/>
    <m/>
    <m/>
    <m/>
    <x v="0"/>
    <x v="0"/>
    <m/>
    <m/>
    <s v="всего не определено ФКП"/>
    <n v="1000000"/>
    <m/>
    <m/>
    <m/>
    <m/>
    <m/>
    <n v="0"/>
    <n v="0"/>
    <n v="0"/>
  </r>
  <r>
    <s v="Закупка"/>
    <s v="исп."/>
    <x v="4"/>
    <s v="договор №41, оборудование DSLAM"/>
    <m/>
    <m/>
    <m/>
    <m/>
    <m/>
    <m/>
    <m/>
    <m/>
    <m/>
    <m/>
    <m/>
    <x v="0"/>
    <x v="0"/>
    <m/>
    <m/>
    <s v="не распределены платежи"/>
    <m/>
    <m/>
    <s v="пп.№8002"/>
    <s v="1 Расчетный счет"/>
    <d v="2017-03-25T00:00:00"/>
    <n v="500000"/>
    <n v="0"/>
    <n v="0"/>
    <n v="0"/>
  </r>
  <r>
    <s v="Закупка"/>
    <s v="исп."/>
    <x v="4"/>
    <s v="договор №41, оборудование DSLAM"/>
    <m/>
    <m/>
    <m/>
    <m/>
    <m/>
    <m/>
    <m/>
    <m/>
    <m/>
    <m/>
    <m/>
    <x v="0"/>
    <x v="0"/>
    <m/>
    <m/>
    <m/>
    <m/>
    <m/>
    <s v="пп.№8003"/>
    <s v="1 Расчетный счет"/>
    <d v="2017-03-09T00:00:00"/>
    <n v="50000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s v="ИТОГО по отчету"/>
    <m/>
    <x v="0"/>
    <m/>
    <m/>
    <m/>
    <m/>
    <m/>
    <m/>
    <n v="29000000"/>
    <m/>
    <n v="13250000"/>
    <n v="1000000"/>
    <m/>
    <m/>
    <m/>
    <m/>
    <n v="15750000"/>
    <x v="0"/>
    <m/>
    <m/>
    <m/>
    <x v="0"/>
    <m/>
    <m/>
    <n v="9350000"/>
    <n v="8060000"/>
    <n v="1500000"/>
    <n v="5240000"/>
    <m/>
    <m/>
  </r>
  <r>
    <s v="Строительство"/>
    <m/>
    <x v="0"/>
    <m/>
    <m/>
    <m/>
    <m/>
    <m/>
    <m/>
    <n v="14000000"/>
    <m/>
    <n v="7750000"/>
    <n v="1000000"/>
    <m/>
    <m/>
    <m/>
    <m/>
    <n v="6250000"/>
    <x v="0"/>
    <m/>
    <m/>
    <m/>
    <x v="0"/>
    <m/>
    <m/>
    <n v="5450000"/>
    <n v="3980000"/>
    <n v="500000"/>
    <n v="1160000"/>
    <m/>
    <m/>
  </r>
  <r>
    <s v="Строительство"/>
    <m/>
    <x v="1"/>
    <m/>
    <m/>
    <m/>
    <m/>
    <m/>
    <m/>
    <n v="14000000"/>
    <m/>
    <n v="7750000"/>
    <n v="1000000"/>
    <m/>
    <m/>
    <m/>
    <m/>
    <n v="6250000"/>
    <x v="0"/>
    <m/>
    <m/>
    <m/>
    <x v="0"/>
    <m/>
    <m/>
    <n v="5450000"/>
    <n v="3980000"/>
    <n v="500000"/>
    <n v="1160000"/>
    <m/>
    <m/>
  </r>
  <r>
    <s v="Строительство"/>
    <s v="исп."/>
    <x v="1"/>
    <s v="договор №8 УД Омговичи … р-на"/>
    <m/>
    <m/>
    <d v="2017-01-21T00:00:00"/>
    <m/>
    <s v="BYN"/>
    <n v="5000000"/>
    <m/>
    <n v="2200000"/>
    <n v="0"/>
    <m/>
    <n v="0.2"/>
    <m/>
    <m/>
    <n v="2800000"/>
    <x v="0"/>
    <m/>
    <m/>
    <m/>
    <x v="0"/>
    <m/>
    <m/>
    <n v="500000"/>
    <n v="1700000"/>
    <n v="0"/>
    <n v="700000"/>
    <s v="Тамело"/>
    <m/>
  </r>
  <r>
    <s v="Строительство"/>
    <s v="исп."/>
    <x v="1"/>
    <s v="договор №8 УД Омговичи … р-на"/>
    <s v="ТКП №1"/>
    <m/>
    <d v="2017-01-21T00:00:00"/>
    <m/>
    <s v="BYN"/>
    <n v="1000000"/>
    <m/>
    <n v="500000"/>
    <n v="0"/>
    <m/>
    <m/>
    <d v="2017-01-31T00:00:00"/>
    <n v="73"/>
    <n v="500000"/>
    <x v="0"/>
    <m/>
    <m/>
    <m/>
    <x v="0"/>
    <m/>
    <m/>
    <m/>
    <m/>
    <m/>
    <m/>
    <m/>
    <m/>
  </r>
  <r>
    <s v="Строительство"/>
    <s v="исп."/>
    <x v="1"/>
    <s v="договор №8 УД Омговичи … р-на"/>
    <s v="ТКП №1"/>
    <s v="АКТ №1"/>
    <d v="2017-01-31T00:00:00"/>
    <d v="2017-02-04T00:00:00"/>
    <s v="BYN"/>
    <m/>
    <m/>
    <n v="500000"/>
    <m/>
    <n v="1"/>
    <n v="0.2"/>
    <d v="2017-01-31T00:00:00"/>
    <n v="0"/>
    <m/>
    <x v="0"/>
    <m/>
    <m/>
    <m/>
    <x v="0"/>
    <m/>
    <m/>
    <n v="500000"/>
    <n v="0"/>
    <n v="0"/>
    <n v="0"/>
    <m/>
    <m/>
  </r>
  <r>
    <s v="Строительство"/>
    <s v="исп."/>
    <x v="1"/>
    <s v="договор №8 УД Омговичи … р-на"/>
    <s v="ТКП №1"/>
    <s v="АКТ №1"/>
    <d v="2017-01-31T00:00:00"/>
    <m/>
    <m/>
    <m/>
    <m/>
    <m/>
    <m/>
    <m/>
    <m/>
    <m/>
    <m/>
    <m/>
    <x v="1"/>
    <s v="на 11д"/>
    <n v="200000"/>
    <n v="-5"/>
    <x v="1"/>
    <s v="1 Расчетный счет"/>
    <d v="2017-02-10T00:00:00"/>
    <n v="200000"/>
    <n v="0"/>
    <n v="0"/>
    <n v="0"/>
    <m/>
    <m/>
  </r>
  <r>
    <s v="Строительство"/>
    <s v="исп."/>
    <x v="1"/>
    <s v="договор №8 УД Омговичи … р-на"/>
    <s v="ТКП №1"/>
    <s v="АКТ №1"/>
    <d v="2017-01-31T00:00:00"/>
    <m/>
    <m/>
    <m/>
    <m/>
    <m/>
    <m/>
    <m/>
    <m/>
    <m/>
    <m/>
    <m/>
    <x v="2"/>
    <s v="на 31д"/>
    <n v="300000"/>
    <n v="-25"/>
    <x v="1"/>
    <s v="1 Расчетный счет"/>
    <d v="2017-02-10T00:00:00"/>
    <n v="300000"/>
    <n v="0"/>
    <n v="0"/>
    <n v="0"/>
    <m/>
    <m/>
  </r>
  <r>
    <s v="Строительство"/>
    <s v="исп."/>
    <x v="1"/>
    <s v="договор №8 УД Омговичи … р-на"/>
    <s v="ТКП №2"/>
    <m/>
    <d v="2017-01-21T00:00:00"/>
    <m/>
    <s v="BYN"/>
    <n v="1000000"/>
    <m/>
    <n v="700000"/>
    <n v="0"/>
    <m/>
    <m/>
    <d v="2017-02-28T00:00:00"/>
    <n v="45"/>
    <n v="300000"/>
    <x v="0"/>
    <m/>
    <m/>
    <m/>
    <x v="0"/>
    <m/>
    <m/>
    <m/>
    <m/>
    <m/>
    <m/>
    <m/>
    <m/>
  </r>
  <r>
    <s v="Строительство"/>
    <s v="исп."/>
    <x v="1"/>
    <s v="договор №8 УД Омговичи … р-на"/>
    <s v="ТКП №2"/>
    <s v="АКТ №2"/>
    <d v="2017-02-28T00:00:00"/>
    <d v="2017-03-02T00:00:00"/>
    <s v="BYN"/>
    <m/>
    <m/>
    <n v="700000"/>
    <m/>
    <n v="1"/>
    <n v="0.2"/>
    <d v="2017-02-28T00:00:00"/>
    <n v="0"/>
    <m/>
    <x v="0"/>
    <m/>
    <m/>
    <m/>
    <x v="0"/>
    <m/>
    <m/>
    <n v="0"/>
    <n v="700000"/>
    <n v="0"/>
    <n v="700000"/>
    <m/>
    <m/>
  </r>
  <r>
    <s v="Строительство"/>
    <s v="исп."/>
    <x v="1"/>
    <s v="договор №8 УД Омговичи … р-на"/>
    <s v="ТКП №2"/>
    <s v="АКТ №2"/>
    <d v="2017-02-28T00:00:00"/>
    <m/>
    <m/>
    <m/>
    <m/>
    <m/>
    <m/>
    <m/>
    <m/>
    <m/>
    <m/>
    <m/>
    <x v="3"/>
    <s v="на 11д"/>
    <n v="280000"/>
    <n v="32"/>
    <x v="2"/>
    <m/>
    <m/>
    <n v="280000"/>
    <n v="280000"/>
    <n v="0"/>
    <n v="280000"/>
    <m/>
    <m/>
  </r>
  <r>
    <s v="Строительство"/>
    <s v="исп."/>
    <x v="1"/>
    <s v="договор №8 УД Омговичи … р-на"/>
    <s v="ТКП №2"/>
    <s v="АКТ №2"/>
    <d v="2017-02-28T00:00:00"/>
    <m/>
    <m/>
    <m/>
    <m/>
    <m/>
    <m/>
    <m/>
    <m/>
    <m/>
    <m/>
    <m/>
    <x v="4"/>
    <s v="на 31д"/>
    <n v="420000"/>
    <n v="12"/>
    <x v="2"/>
    <m/>
    <m/>
    <n v="420000"/>
    <n v="420000"/>
    <n v="0"/>
    <n v="420000"/>
    <m/>
    <m/>
  </r>
  <r>
    <s v="Строительство"/>
    <s v="исп."/>
    <x v="1"/>
    <s v="договор №8 УД Омговичи … р-на"/>
    <s v="ТКП №3"/>
    <m/>
    <d v="2017-01-21T00:00:00"/>
    <m/>
    <s v="BYN"/>
    <n v="1000000"/>
    <m/>
    <n v="1000000"/>
    <n v="0"/>
    <m/>
    <m/>
    <d v="2017-03-31T00:00:00"/>
    <n v="0"/>
    <n v="0"/>
    <x v="0"/>
    <m/>
    <m/>
    <m/>
    <x v="0"/>
    <m/>
    <m/>
    <m/>
    <m/>
    <m/>
    <m/>
    <m/>
    <m/>
  </r>
  <r>
    <s v="Строительство"/>
    <s v="исп."/>
    <x v="1"/>
    <s v="договор №8 УД Омговичи … р-на"/>
    <s v="ТКП №3"/>
    <s v="АКТ №3"/>
    <d v="2017-03-31T00:00:00"/>
    <d v="2017-04-04T00:00:00"/>
    <s v="BYN"/>
    <m/>
    <m/>
    <n v="1000000"/>
    <m/>
    <n v="1"/>
    <n v="0.2"/>
    <m/>
    <m/>
    <m/>
    <x v="0"/>
    <m/>
    <m/>
    <m/>
    <x v="0"/>
    <m/>
    <m/>
    <n v="0"/>
    <n v="1000000"/>
    <n v="0"/>
    <n v="0"/>
    <m/>
    <m/>
  </r>
  <r>
    <s v="Строительство"/>
    <s v="исп."/>
    <x v="1"/>
    <s v="договор №8 УД Омговичи … р-на"/>
    <s v="ТКП №3"/>
    <s v="АКТ №3"/>
    <d v="2017-03-31T00:00:00"/>
    <m/>
    <m/>
    <m/>
    <m/>
    <m/>
    <m/>
    <m/>
    <m/>
    <m/>
    <m/>
    <m/>
    <x v="5"/>
    <s v="на 11д"/>
    <n v="400000"/>
    <n v="-1"/>
    <x v="2"/>
    <m/>
    <m/>
    <n v="400000"/>
    <n v="400000"/>
    <n v="0"/>
    <n v="0"/>
    <m/>
    <m/>
  </r>
  <r>
    <s v="Строительство"/>
    <s v="исп."/>
    <x v="1"/>
    <s v="договор №8 УД Омговичи … р-на"/>
    <s v="ТКП №3"/>
    <s v="АКТ №3"/>
    <d v="2017-03-31T00:00:00"/>
    <m/>
    <m/>
    <m/>
    <m/>
    <m/>
    <m/>
    <m/>
    <m/>
    <m/>
    <m/>
    <m/>
    <x v="6"/>
    <s v="на 31д"/>
    <n v="600000"/>
    <n v="-21"/>
    <x v="2"/>
    <m/>
    <m/>
    <n v="600000"/>
    <n v="600000"/>
    <n v="0"/>
    <n v="0"/>
    <m/>
    <m/>
  </r>
  <r>
    <s v="Строительство"/>
    <s v="исп."/>
    <x v="1"/>
    <s v="договор №8 УД Омговичи … р-на"/>
    <s v="ТКП №4"/>
    <m/>
    <d v="2017-01-21T00:00:00"/>
    <m/>
    <s v="BYN"/>
    <n v="2000000"/>
    <m/>
    <m/>
    <m/>
    <m/>
    <m/>
    <d v="2017-04-30T00:00:00"/>
    <n v="-16"/>
    <n v="2000000"/>
    <x v="0"/>
    <m/>
    <m/>
    <m/>
    <x v="0"/>
    <m/>
    <m/>
    <m/>
    <m/>
    <m/>
    <m/>
    <m/>
    <m/>
  </r>
  <r>
    <s v="Строительство"/>
    <s v="исп."/>
    <x v="1"/>
    <s v="договор №18 УД Ходаково … р-на"/>
    <m/>
    <m/>
    <d v="2017-01-21T00:00:00"/>
    <m/>
    <s v="BYN"/>
    <n v="4000000"/>
    <n v="2400000"/>
    <n v="3200000"/>
    <n v="0"/>
    <m/>
    <n v="0.2"/>
    <m/>
    <m/>
    <n v="800000"/>
    <x v="0"/>
    <m/>
    <m/>
    <m/>
    <x v="0"/>
    <m/>
    <m/>
    <n v="2450000"/>
    <n v="730000"/>
    <n v="0"/>
    <n v="0"/>
    <s v="Кожемяко"/>
    <m/>
  </r>
  <r>
    <s v="Строительство"/>
    <s v="исп."/>
    <x v="1"/>
    <s v="договор №18 УД Ходаково … р-на"/>
    <s v="ТКП №1"/>
    <m/>
    <d v="2017-01-21T00:00:00"/>
    <m/>
    <s v="BYN"/>
    <n v="1000000"/>
    <n v="0"/>
    <n v="500000"/>
    <n v="0"/>
    <m/>
    <m/>
    <d v="2017-01-31T00:00:00"/>
    <n v="73"/>
    <n v="500000"/>
    <x v="0"/>
    <m/>
    <m/>
    <m/>
    <x v="0"/>
    <m/>
    <m/>
    <m/>
    <m/>
    <m/>
    <m/>
    <m/>
    <m/>
  </r>
  <r>
    <s v="Строительство"/>
    <s v="исп."/>
    <x v="1"/>
    <s v="договор №18 УД Ходаково … р-на"/>
    <s v="ТКП №1"/>
    <s v="АКТ №1"/>
    <d v="2017-01-31T00:00:00"/>
    <d v="2017-02-04T00:00:00"/>
    <s v="BYN"/>
    <m/>
    <m/>
    <n v="500000"/>
    <m/>
    <n v="1"/>
    <n v="0.2"/>
    <d v="2017-01-31T00:00:00"/>
    <n v="0"/>
    <m/>
    <x v="0"/>
    <m/>
    <m/>
    <m/>
    <x v="0"/>
    <m/>
    <m/>
    <n v="500000"/>
    <n v="0"/>
    <n v="0"/>
    <n v="0"/>
    <m/>
    <m/>
  </r>
  <r>
    <s v="Строительство"/>
    <s v="исп."/>
    <x v="1"/>
    <s v="договор №18 УД Ходаково … р-на"/>
    <s v="ТКП №1"/>
    <s v="АКТ №1"/>
    <d v="2017-01-31T00:00:00"/>
    <m/>
    <m/>
    <m/>
    <m/>
    <m/>
    <m/>
    <m/>
    <m/>
    <m/>
    <m/>
    <m/>
    <x v="7"/>
    <m/>
    <n v="500000"/>
    <n v="-6"/>
    <x v="1"/>
    <s v="1 Расчетный счет"/>
    <d v="2017-02-28T00:00:00"/>
    <n v="500000"/>
    <n v="0"/>
    <n v="0"/>
    <n v="0"/>
    <m/>
    <m/>
  </r>
  <r>
    <s v="Строительство"/>
    <s v="исп."/>
    <x v="1"/>
    <s v="договор №18 УД Ходаково … р-на"/>
    <s v="ТКП №1"/>
    <s v="АКТ №1"/>
    <d v="2017-01-31T00:00:00"/>
    <m/>
    <m/>
    <m/>
    <m/>
    <m/>
    <m/>
    <m/>
    <m/>
    <m/>
    <m/>
    <m/>
    <x v="0"/>
    <m/>
    <m/>
    <m/>
    <x v="0"/>
    <m/>
    <m/>
    <m/>
    <m/>
    <n v="0"/>
    <n v="0"/>
    <m/>
    <m/>
  </r>
  <r>
    <s v="Строительство"/>
    <s v="исп."/>
    <x v="1"/>
    <s v="договор №18 УД Ходаково … р-на"/>
    <s v="ТКП №2"/>
    <m/>
    <d v="2017-01-21T00:00:00"/>
    <m/>
    <s v="BYN"/>
    <n v="1000000"/>
    <n v="800000"/>
    <n v="700000"/>
    <n v="0"/>
    <m/>
    <m/>
    <d v="2017-02-28T00:00:00"/>
    <n v="45"/>
    <n v="300000"/>
    <x v="0"/>
    <m/>
    <m/>
    <m/>
    <x v="0"/>
    <m/>
    <m/>
    <m/>
    <m/>
    <m/>
    <m/>
    <m/>
    <m/>
  </r>
  <r>
    <s v="Строительство"/>
    <s v="исп."/>
    <x v="1"/>
    <s v="договор №18 УД Ходаково … р-на"/>
    <s v="ТКП №2"/>
    <s v="АКТ №2"/>
    <d v="2017-02-28T00:00:00"/>
    <d v="2017-03-02T00:00:00"/>
    <s v="BYN"/>
    <m/>
    <n v="560000"/>
    <n v="700000"/>
    <m/>
    <m/>
    <n v="0.2"/>
    <d v="2017-02-28T00:00:00"/>
    <n v="0"/>
    <m/>
    <x v="0"/>
    <m/>
    <m/>
    <m/>
    <x v="0"/>
    <m/>
    <m/>
    <n v="700000"/>
    <n v="0"/>
    <n v="0"/>
    <n v="0"/>
    <m/>
    <m/>
  </r>
  <r>
    <s v="Строительство"/>
    <s v="исп."/>
    <x v="1"/>
    <s v="договор №18 УД Ходаково … р-на"/>
    <s v="ТКП №2"/>
    <s v="АКТ №2"/>
    <d v="2017-02-28T00:00:00"/>
    <m/>
    <m/>
    <m/>
    <m/>
    <m/>
    <m/>
    <m/>
    <m/>
    <m/>
    <m/>
    <m/>
    <x v="8"/>
    <m/>
    <n v="700000"/>
    <n v="-22"/>
    <x v="3"/>
    <s v="1 Расчетный счет"/>
    <d v="2017-03-10T00:00:00"/>
    <n v="140000"/>
    <n v="0"/>
    <n v="0"/>
    <n v="0"/>
    <m/>
    <m/>
  </r>
  <r>
    <s v="Строительство"/>
    <s v="исп."/>
    <x v="1"/>
    <s v="договор №18 УД Ходаково … р-на"/>
    <s v="ТКП №2"/>
    <s v="АКТ №2"/>
    <d v="2017-02-28T00:00:00"/>
    <m/>
    <m/>
    <m/>
    <m/>
    <m/>
    <m/>
    <m/>
    <m/>
    <m/>
    <m/>
    <m/>
    <x v="8"/>
    <m/>
    <m/>
    <n v="3"/>
    <x v="4"/>
    <s v="7 ФОУ Расчеты с подрядчиками"/>
    <d v="2017-04-04T00:00:00"/>
    <n v="560000"/>
    <n v="0"/>
    <n v="0"/>
    <n v="0"/>
    <m/>
    <m/>
  </r>
  <r>
    <s v="Строительство"/>
    <s v="исп."/>
    <x v="1"/>
    <s v="договор №18 УД Ходаково … р-на"/>
    <s v="ТКП №3"/>
    <m/>
    <d v="2017-01-21T00:00:00"/>
    <m/>
    <s v="BYN"/>
    <n v="1000000"/>
    <n v="800000"/>
    <n v="1000000"/>
    <n v="0"/>
    <m/>
    <m/>
    <d v="2017-03-31T00:00:00"/>
    <n v="0"/>
    <n v="0"/>
    <x v="0"/>
    <m/>
    <m/>
    <m/>
    <x v="0"/>
    <m/>
    <m/>
    <m/>
    <m/>
    <m/>
    <m/>
    <m/>
    <m/>
  </r>
  <r>
    <s v="Строительство"/>
    <s v="исп."/>
    <x v="1"/>
    <s v="договор №18 УД Ходаково … р-на"/>
    <s v="ТКП №3"/>
    <s v="АКТ №3"/>
    <d v="2017-03-31T00:00:00"/>
    <d v="2017-04-04T00:00:00"/>
    <s v="BYN"/>
    <m/>
    <n v="750000"/>
    <n v="1000000"/>
    <m/>
    <n v="1"/>
    <n v="0.2"/>
    <m/>
    <m/>
    <m/>
    <x v="0"/>
    <m/>
    <m/>
    <m/>
    <x v="0"/>
    <m/>
    <m/>
    <n v="1000000"/>
    <n v="0"/>
    <n v="0"/>
    <n v="0"/>
    <m/>
    <m/>
  </r>
  <r>
    <s v="Строительство"/>
    <s v="исп."/>
    <x v="1"/>
    <s v="договор №18 УД Ходаково … р-на"/>
    <s v="ТКП №3"/>
    <s v="АКТ №3"/>
    <d v="2017-03-31T00:00:00"/>
    <m/>
    <m/>
    <m/>
    <m/>
    <m/>
    <m/>
    <m/>
    <m/>
    <m/>
    <m/>
    <m/>
    <x v="9"/>
    <m/>
    <n v="1000000"/>
    <n v="-24"/>
    <x v="5"/>
    <s v="1 Расчетный счет"/>
    <d v="2017-04-10T00:00:00"/>
    <n v="250000"/>
    <n v="0"/>
    <n v="0"/>
    <n v="0"/>
    <m/>
    <m/>
  </r>
  <r>
    <s v="Строительство"/>
    <s v="исп."/>
    <x v="1"/>
    <s v="договор №18 УД Ходаково … р-на"/>
    <s v="ТКП №3"/>
    <s v="АКТ №3"/>
    <d v="2017-03-31T00:00:00"/>
    <m/>
    <m/>
    <m/>
    <m/>
    <m/>
    <m/>
    <m/>
    <m/>
    <m/>
    <m/>
    <m/>
    <x v="9"/>
    <m/>
    <m/>
    <n v="1"/>
    <x v="6"/>
    <s v="7 ФОУ Расчеты с подрядчиками"/>
    <d v="2017-05-05T00:00:00"/>
    <n v="750000"/>
    <n v="0"/>
    <n v="0"/>
    <n v="0"/>
    <m/>
    <m/>
  </r>
  <r>
    <s v="Строительство"/>
    <s v="исп."/>
    <x v="1"/>
    <s v="договор №18 УД Ходаково … р-на"/>
    <s v="ТКП №4"/>
    <m/>
    <d v="2017-01-21T00:00:00"/>
    <m/>
    <s v="BYN"/>
    <n v="1000000"/>
    <n v="800000"/>
    <n v="1000000"/>
    <n v="0"/>
    <m/>
    <m/>
    <d v="2017-04-30T00:00:00"/>
    <n v="0"/>
    <n v="0"/>
    <x v="0"/>
    <m/>
    <m/>
    <m/>
    <x v="0"/>
    <m/>
    <m/>
    <m/>
    <m/>
    <m/>
    <m/>
    <m/>
    <m/>
  </r>
  <r>
    <s v="Строительство"/>
    <s v="исп."/>
    <x v="1"/>
    <s v="договор №18 УД Ходаково … р-на"/>
    <s v="ТКП №4"/>
    <s v="АКТ №4"/>
    <d v="2017-04-30T00:00:00"/>
    <d v="2017-05-05T00:00:00"/>
    <s v="BYN"/>
    <m/>
    <n v="750000"/>
    <n v="1000000"/>
    <m/>
    <n v="1"/>
    <n v="0.2"/>
    <m/>
    <m/>
    <m/>
    <x v="0"/>
    <m/>
    <m/>
    <m/>
    <x v="0"/>
    <m/>
    <m/>
    <n v="250000"/>
    <n v="730000"/>
    <n v="0"/>
    <n v="0"/>
    <m/>
    <m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m/>
    <m/>
    <m/>
    <x v="10"/>
    <m/>
    <n v="1000000"/>
    <n v="-55"/>
    <x v="5"/>
    <s v="1 Расчетный счет"/>
    <d v="2017-04-10T00:00:00"/>
    <n v="250000"/>
    <n v="0"/>
    <n v="0"/>
    <n v="0"/>
    <m/>
    <m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m/>
    <m/>
    <m/>
    <x v="10"/>
    <m/>
    <m/>
    <n v="-53"/>
    <x v="7"/>
    <m/>
    <d v="2017-04-12T00:00:00"/>
    <n v="20000"/>
    <n v="0"/>
    <n v="0"/>
    <n v="0"/>
    <m/>
    <m/>
  </r>
  <r>
    <s v="Строительство"/>
    <s v="исп."/>
    <x v="1"/>
    <s v="договор №18 УД Ходаково … р-на"/>
    <s v="ТКП №4"/>
    <s v="АКТ №4"/>
    <d v="2017-04-30T00:00:00"/>
    <m/>
    <m/>
    <m/>
    <m/>
    <m/>
    <m/>
    <m/>
    <m/>
    <m/>
    <m/>
    <m/>
    <x v="10"/>
    <m/>
    <m/>
    <n v="-51"/>
    <x v="2"/>
    <m/>
    <m/>
    <n v="730000"/>
    <n v="730000"/>
    <n v="0"/>
    <n v="0"/>
    <m/>
    <m/>
  </r>
  <r>
    <s v="Строительство"/>
    <s v="исп."/>
    <x v="1"/>
    <s v="договор №45 Реконструкция СЦ Слуцк"/>
    <m/>
    <m/>
    <d v="2017-01-21T00:00:00"/>
    <m/>
    <s v="BYN"/>
    <n v="5000000"/>
    <m/>
    <n v="2350000"/>
    <n v="1000000"/>
    <m/>
    <n v="0.2"/>
    <m/>
    <m/>
    <n v="2650000"/>
    <x v="0"/>
    <m/>
    <m/>
    <m/>
    <x v="0"/>
    <m/>
    <m/>
    <n v="2500000"/>
    <n v="1550000"/>
    <n v="500000"/>
    <n v="460000"/>
    <s v="Емельяненко"/>
    <m/>
  </r>
  <r>
    <s v="Строительство"/>
    <s v="исп."/>
    <x v="1"/>
    <s v="договор №45 Реконструкция СЦ Слуцк"/>
    <s v="ТКП №1"/>
    <m/>
    <d v="2017-01-21T00:00:00"/>
    <m/>
    <s v="BYN"/>
    <n v="1000000"/>
    <m/>
    <n v="500000"/>
    <n v="200000"/>
    <m/>
    <m/>
    <d v="2017-01-31T00:00:00"/>
    <n v="73"/>
    <n v="500000"/>
    <x v="0"/>
    <m/>
    <m/>
    <m/>
    <x v="0"/>
    <m/>
    <m/>
    <m/>
    <m/>
    <m/>
    <m/>
    <m/>
    <m/>
  </r>
  <r>
    <s v="Строительство"/>
    <s v="исп."/>
    <x v="1"/>
    <s v="договор №45 Реконструкция СЦ Слуцк"/>
    <s v="ТКП №1"/>
    <s v="АКТ №1"/>
    <d v="2017-01-31T00:00:00"/>
    <d v="2017-02-04T00:00:00"/>
    <s v="BYN"/>
    <m/>
    <m/>
    <n v="500000"/>
    <n v="200000"/>
    <n v="1"/>
    <n v="0.2"/>
    <d v="2017-01-31T00:00:00"/>
    <n v="0"/>
    <m/>
    <x v="0"/>
    <m/>
    <m/>
    <m/>
    <x v="0"/>
    <m/>
    <m/>
    <n v="700000"/>
    <n v="0"/>
    <n v="0"/>
    <n v="0"/>
    <m/>
    <m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m/>
    <m/>
    <m/>
    <x v="0"/>
    <m/>
    <m/>
    <m/>
    <x v="8"/>
    <s v="1 Расчетный счет"/>
    <d v="2017-01-19T00:00:00"/>
    <n v="200000"/>
    <m/>
    <m/>
    <n v="0"/>
    <m/>
    <m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m/>
    <m/>
    <m/>
    <x v="1"/>
    <s v="на 11д"/>
    <n v="120000"/>
    <n v="-5"/>
    <x v="1"/>
    <s v="1 Расчетный счет"/>
    <d v="2017-02-10T00:00:00"/>
    <n v="200000"/>
    <n v="0"/>
    <n v="0"/>
    <n v="0"/>
    <m/>
    <m/>
  </r>
  <r>
    <s v="Строительство"/>
    <s v="исп."/>
    <x v="1"/>
    <s v="договор №45 Реконструкция СЦ Слуцк"/>
    <s v="ТКП №1"/>
    <s v="АКТ №1"/>
    <d v="2017-01-31T00:00:00"/>
    <m/>
    <m/>
    <m/>
    <m/>
    <m/>
    <m/>
    <m/>
    <m/>
    <m/>
    <m/>
    <m/>
    <x v="2"/>
    <s v="на 31д"/>
    <n v="180000"/>
    <n v="-25"/>
    <x v="1"/>
    <s v="1 Расчетный счет"/>
    <d v="2017-02-10T00:00:00"/>
    <n v="300000"/>
    <n v="0"/>
    <n v="0"/>
    <n v="0"/>
    <m/>
    <m/>
  </r>
  <r>
    <s v="Строительство"/>
    <s v="исп."/>
    <x v="1"/>
    <s v="договор №45 Реконструкция СЦ Слуцк"/>
    <s v="ТКП №2"/>
    <m/>
    <d v="2017-01-21T00:00:00"/>
    <m/>
    <s v="BYN"/>
    <n v="1000000"/>
    <m/>
    <n v="700000"/>
    <n v="300000"/>
    <m/>
    <m/>
    <d v="2017-02-28T00:00:00"/>
    <n v="45"/>
    <n v="300000"/>
    <x v="0"/>
    <m/>
    <m/>
    <m/>
    <x v="0"/>
    <m/>
    <m/>
    <m/>
    <m/>
    <m/>
    <m/>
    <m/>
    <m/>
  </r>
  <r>
    <s v="Строительство"/>
    <s v="исп."/>
    <x v="1"/>
    <s v="договор №45 Реконструкция СЦ Слуцк"/>
    <s v="ТКП №2"/>
    <s v="АКТ №2"/>
    <d v="2017-02-28T00:00:00"/>
    <d v="2017-03-02T00:00:00"/>
    <s v="BYN"/>
    <m/>
    <m/>
    <n v="700000"/>
    <n v="300000"/>
    <n v="1"/>
    <n v="0.2"/>
    <d v="2017-02-28T00:00:00"/>
    <n v="0"/>
    <m/>
    <x v="0"/>
    <m/>
    <m/>
    <m/>
    <x v="0"/>
    <m/>
    <m/>
    <n v="300000"/>
    <n v="400000"/>
    <n v="0"/>
    <n v="400000"/>
    <n v="0"/>
    <m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m/>
    <m/>
    <m/>
    <x v="0"/>
    <m/>
    <m/>
    <m/>
    <x v="8"/>
    <s v="1 Расчетный счет"/>
    <d v="2017-01-19T00:00:00"/>
    <n v="300000"/>
    <m/>
    <m/>
    <n v="0"/>
    <m/>
    <m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m/>
    <m/>
    <m/>
    <x v="3"/>
    <s v="на 11д"/>
    <n v="160000"/>
    <n v="32"/>
    <x v="2"/>
    <m/>
    <m/>
    <n v="160000"/>
    <n v="160000"/>
    <n v="0"/>
    <n v="160000"/>
    <m/>
    <m/>
  </r>
  <r>
    <s v="Строительство"/>
    <s v="исп."/>
    <x v="1"/>
    <s v="договор №45 Реконструкция СЦ Слуцк"/>
    <s v="ТКП №2"/>
    <s v="АКТ №2"/>
    <d v="2017-02-28T00:00:00"/>
    <m/>
    <m/>
    <m/>
    <m/>
    <m/>
    <m/>
    <m/>
    <m/>
    <m/>
    <m/>
    <m/>
    <x v="4"/>
    <s v="на 31д"/>
    <n v="240000"/>
    <n v="12"/>
    <x v="2"/>
    <m/>
    <m/>
    <n v="240000"/>
    <n v="240000"/>
    <n v="0"/>
    <n v="240000"/>
    <m/>
    <m/>
  </r>
  <r>
    <s v="Строительство"/>
    <s v="исп."/>
    <x v="1"/>
    <s v="договор №45 Реконструкция СЦ Слуцк"/>
    <s v="ТКП №3"/>
    <m/>
    <d v="2017-01-21T00:00:00"/>
    <m/>
    <s v="BYN"/>
    <n v="1000000"/>
    <m/>
    <n v="1150000"/>
    <n v="500000"/>
    <m/>
    <m/>
    <d v="2017-03-31T00:00:00"/>
    <n v="0"/>
    <n v="-150000"/>
    <x v="0"/>
    <m/>
    <m/>
    <m/>
    <x v="0"/>
    <m/>
    <m/>
    <m/>
    <m/>
    <m/>
    <m/>
    <m/>
    <m/>
  </r>
  <r>
    <s v="Строительство"/>
    <s v="исп."/>
    <x v="1"/>
    <s v="договор №45 Реконструкция СЦ Слуцк"/>
    <s v="ТКП №3"/>
    <s v="АКТ №3"/>
    <d v="2017-03-31T00:00:00"/>
    <d v="2017-04-04T00:00:00"/>
    <s v="BYN"/>
    <m/>
    <m/>
    <n v="1000000"/>
    <n v="500000"/>
    <n v="1"/>
    <n v="0.2"/>
    <d v="2017-03-31T00:00:00"/>
    <n v="0"/>
    <m/>
    <x v="0"/>
    <m/>
    <m/>
    <m/>
    <x v="0"/>
    <m/>
    <m/>
    <n v="400000"/>
    <n v="500000"/>
    <n v="0"/>
    <n v="0"/>
    <n v="0"/>
    <m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m/>
    <m/>
    <m/>
    <x v="0"/>
    <m/>
    <m/>
    <m/>
    <x v="9"/>
    <s v="1 Расчетный счет"/>
    <d v="2017-02-19T00:00:00"/>
    <n v="400000"/>
    <m/>
    <m/>
    <n v="0"/>
    <m/>
    <m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m/>
    <m/>
    <m/>
    <x v="0"/>
    <s v="не распределен аванс"/>
    <m/>
    <m/>
    <x v="0"/>
    <m/>
    <m/>
    <n v="100000"/>
    <m/>
    <n v="0"/>
    <n v="0"/>
    <m/>
    <m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m/>
    <m/>
    <m/>
    <x v="5"/>
    <s v="на 11д"/>
    <n v="200000"/>
    <n v="-1"/>
    <x v="2"/>
    <m/>
    <m/>
    <n v="200000"/>
    <n v="200000"/>
    <n v="0"/>
    <n v="0"/>
    <m/>
    <m/>
  </r>
  <r>
    <s v="Строительство"/>
    <s v="исп."/>
    <x v="1"/>
    <s v="договор №45 Реконструкция СЦ Слуцк"/>
    <s v="ТКП №3"/>
    <s v="АКТ №3"/>
    <d v="2017-03-31T00:00:00"/>
    <m/>
    <m/>
    <m/>
    <m/>
    <m/>
    <m/>
    <m/>
    <m/>
    <m/>
    <m/>
    <m/>
    <x v="6"/>
    <s v="на 31д"/>
    <n v="300000"/>
    <n v="-21"/>
    <x v="2"/>
    <m/>
    <m/>
    <n v="300000"/>
    <n v="300000"/>
    <n v="0"/>
    <n v="0"/>
    <m/>
    <m/>
  </r>
  <r>
    <s v="Строительство"/>
    <s v="исп."/>
    <x v="1"/>
    <s v="договор №45 Реконструкция СЦ Слуцк"/>
    <s v="ТКП №3"/>
    <s v="ТТН №28818"/>
    <d v="2017-03-31T00:00:00"/>
    <m/>
    <s v="BYN"/>
    <m/>
    <m/>
    <n v="150000"/>
    <m/>
    <n v="1"/>
    <n v="0.2"/>
    <d v="2017-03-31T00:00:00"/>
    <n v="0"/>
    <m/>
    <x v="0"/>
    <m/>
    <m/>
    <m/>
    <x v="0"/>
    <m/>
    <m/>
    <n v="0"/>
    <n v="150000"/>
    <n v="0"/>
    <n v="60000"/>
    <n v="0"/>
    <m/>
  </r>
  <r>
    <s v="Строительство"/>
    <s v="исп."/>
    <x v="1"/>
    <s v="договор №45 Реконструкция СЦ Слуцк"/>
    <s v="ТКП №3"/>
    <s v="ТТН №28818"/>
    <d v="2017-03-31T00:00:00"/>
    <m/>
    <m/>
    <m/>
    <m/>
    <m/>
    <m/>
    <m/>
    <m/>
    <m/>
    <m/>
    <m/>
    <x v="11"/>
    <s v="на 11д"/>
    <n v="60000"/>
    <n v="3"/>
    <x v="2"/>
    <m/>
    <m/>
    <n v="60000"/>
    <n v="60000"/>
    <n v="0"/>
    <n v="60000"/>
    <m/>
    <m/>
  </r>
  <r>
    <s v="Строительство"/>
    <s v="исп."/>
    <x v="1"/>
    <s v="договор №45 Реконструкция СЦ Слуцк"/>
    <s v="ТКП №3"/>
    <s v="ТТН №28818"/>
    <d v="2017-03-31T00:00:00"/>
    <m/>
    <m/>
    <m/>
    <m/>
    <m/>
    <m/>
    <m/>
    <m/>
    <m/>
    <m/>
    <m/>
    <x v="12"/>
    <s v="на 31д"/>
    <n v="90000"/>
    <n v="-17"/>
    <x v="2"/>
    <m/>
    <m/>
    <n v="90000"/>
    <n v="90000"/>
    <n v="0"/>
    <n v="0"/>
    <m/>
    <m/>
  </r>
  <r>
    <s v="Строительство"/>
    <s v="исп."/>
    <x v="1"/>
    <s v="договор №45 Реконструкция СЦ Слуцк"/>
    <s v="ТКП №4"/>
    <m/>
    <d v="2017-01-21T00:00:00"/>
    <m/>
    <s v="BYN"/>
    <n v="2000000"/>
    <m/>
    <m/>
    <m/>
    <m/>
    <m/>
    <d v="2017-04-30T00:00:00"/>
    <n v="-16"/>
    <n v="2000000"/>
    <x v="0"/>
    <m/>
    <m/>
    <m/>
    <x v="0"/>
    <m/>
    <m/>
    <m/>
    <m/>
    <m/>
    <m/>
    <m/>
    <m/>
  </r>
  <r>
    <s v="Строительство"/>
    <s v="исп."/>
    <x v="1"/>
    <s v="договор №45 Реконструкция СЦ Слуцк"/>
    <s v="авансовый ФКП №1"/>
    <m/>
    <d v="2017-01-21T00:00:00"/>
    <m/>
    <s v="BYN"/>
    <m/>
    <m/>
    <m/>
    <m/>
    <m/>
    <m/>
    <m/>
    <m/>
    <m/>
    <x v="13"/>
    <s v="аванс"/>
    <n v="500000"/>
    <n v="-1"/>
    <x v="8"/>
    <s v="1 Расчетный счет"/>
    <d v="2017-01-19T00:00:00"/>
    <n v="500000"/>
    <n v="0"/>
    <n v="0"/>
    <n v="0"/>
    <m/>
    <m/>
  </r>
  <r>
    <s v="Строительство"/>
    <s v="исп."/>
    <x v="1"/>
    <s v="договор №45 Реконструкция СЦ Слуцк"/>
    <s v="авансовый ФКП №2"/>
    <m/>
    <d v="2017-01-21T00:00:00"/>
    <m/>
    <s v="BYN"/>
    <m/>
    <m/>
    <m/>
    <m/>
    <m/>
    <m/>
    <m/>
    <m/>
    <m/>
    <x v="14"/>
    <s v="аванс"/>
    <n v="500000"/>
    <n v="-1"/>
    <x v="9"/>
    <s v="1 Расчетный счет"/>
    <d v="2017-02-19T00:00:00"/>
    <n v="400000"/>
    <n v="0"/>
    <n v="0"/>
    <n v="0"/>
    <m/>
    <m/>
  </r>
  <r>
    <s v="Строительство"/>
    <s v="исп."/>
    <x v="1"/>
    <s v="договор №45 Реконструкция СЦ Слуцк"/>
    <s v="авансовый ФКП №2"/>
    <m/>
    <m/>
    <m/>
    <m/>
    <m/>
    <m/>
    <m/>
    <m/>
    <m/>
    <m/>
    <m/>
    <m/>
    <m/>
    <x v="14"/>
    <s v="аванс"/>
    <m/>
    <n v="27"/>
    <x v="10"/>
    <s v="1 Расчетный счет"/>
    <d v="2017-03-19T00:00:00"/>
    <n v="100000"/>
    <n v="0"/>
    <n v="0"/>
    <n v="0"/>
    <m/>
    <m/>
  </r>
  <r>
    <s v="Строительство"/>
    <s v="исп."/>
    <x v="1"/>
    <s v="договор №45 Реконструкция СЦ Слуцк"/>
    <s v="авансовый ФКП №3"/>
    <m/>
    <m/>
    <m/>
    <m/>
    <m/>
    <m/>
    <m/>
    <m/>
    <m/>
    <m/>
    <m/>
    <m/>
    <m/>
    <x v="15"/>
    <s v="аванс"/>
    <n v="500000"/>
    <n v="-1"/>
    <x v="10"/>
    <s v="1 Расчетный счет"/>
    <d v="2017-03-19T00:00:00"/>
    <n v="500000"/>
    <n v="0"/>
    <n v="0"/>
    <n v="0"/>
    <m/>
    <m/>
  </r>
  <r>
    <s v="Строительство"/>
    <s v="исп."/>
    <x v="1"/>
    <s v="договор №45 Реконструкция СЦ Слуцк"/>
    <s v="авансовый ФКП №4"/>
    <m/>
    <d v="2017-01-21T00:00:00"/>
    <m/>
    <s v="BYN"/>
    <m/>
    <m/>
    <m/>
    <m/>
    <m/>
    <m/>
    <m/>
    <m/>
    <m/>
    <x v="16"/>
    <s v="аванс"/>
    <n v="1000000"/>
    <n v="-16"/>
    <x v="11"/>
    <s v="1 Расчетный счет"/>
    <d v="2017-04-04T00:00:00"/>
    <n v="500000"/>
    <n v="0"/>
    <n v="0"/>
    <n v="0"/>
    <m/>
    <m/>
  </r>
  <r>
    <s v="Строительство"/>
    <s v="исп."/>
    <x v="1"/>
    <s v="договор №45 Реконструкция СЦ Слуцк"/>
    <m/>
    <m/>
    <m/>
    <m/>
    <m/>
    <m/>
    <m/>
    <m/>
    <m/>
    <m/>
    <m/>
    <m/>
    <m/>
    <m/>
    <x v="16"/>
    <s v="аванс"/>
    <m/>
    <n v="-6"/>
    <x v="2"/>
    <m/>
    <m/>
    <n v="500000"/>
    <n v="500000"/>
    <n v="500000"/>
    <n v="0"/>
    <m/>
    <m/>
  </r>
  <r>
    <s v="Строительство"/>
    <s v="исп."/>
    <x v="1"/>
    <s v="договор №45 Реконструкция СЦ Слуцк"/>
    <m/>
    <m/>
    <m/>
    <m/>
    <m/>
    <m/>
    <m/>
    <m/>
    <m/>
    <m/>
    <m/>
    <m/>
    <m/>
    <m/>
    <x v="0"/>
    <s v="не распределены платежи"/>
    <m/>
    <m/>
    <x v="10"/>
    <s v="1 Расчетный счет"/>
    <d v="2017-03-19T00:00:00"/>
    <n v="600000"/>
    <n v="0"/>
    <n v="0"/>
    <n v="0"/>
    <m/>
    <m/>
  </r>
  <r>
    <s v="Строительство"/>
    <s v="исп."/>
    <x v="1"/>
    <s v="договор №45 Реконструкция СЦ Слуцк"/>
    <m/>
    <m/>
    <m/>
    <m/>
    <m/>
    <m/>
    <m/>
    <m/>
    <m/>
    <m/>
    <m/>
    <m/>
    <m/>
    <m/>
    <x v="0"/>
    <m/>
    <m/>
    <m/>
    <x v="11"/>
    <s v="1 Расчетный счет"/>
    <d v="2017-04-04T00:00:00"/>
    <n v="500000"/>
    <n v="0"/>
    <n v="0"/>
    <n v="0"/>
    <m/>
    <m/>
  </r>
  <r>
    <s v="Закупка"/>
    <m/>
    <x v="0"/>
    <m/>
    <m/>
    <m/>
    <m/>
    <m/>
    <m/>
    <n v="15000000"/>
    <n v="0"/>
    <n v="5500000"/>
    <n v="0"/>
    <m/>
    <m/>
    <m/>
    <m/>
    <n v="9500000"/>
    <x v="0"/>
    <m/>
    <m/>
    <m/>
    <x v="0"/>
    <m/>
    <m/>
    <n v="3900000"/>
    <n v="4080000"/>
    <n v="1000000"/>
    <n v="4080000"/>
    <m/>
    <m/>
  </r>
  <r>
    <s v="Закупка"/>
    <m/>
    <x v="2"/>
    <m/>
    <m/>
    <m/>
    <m/>
    <m/>
    <m/>
    <n v="5000000"/>
    <n v="0"/>
    <n v="2000000"/>
    <n v="0"/>
    <m/>
    <m/>
    <m/>
    <m/>
    <n v="3000000"/>
    <x v="0"/>
    <m/>
    <m/>
    <m/>
    <x v="0"/>
    <m/>
    <m/>
    <n v="800000"/>
    <n v="1200000"/>
    <n v="0"/>
    <n v="1200000"/>
    <m/>
    <m/>
  </r>
  <r>
    <s v="Закупка"/>
    <s v="исп."/>
    <x v="2"/>
    <s v="договор №58, кабельная продукция(Беларускабель)"/>
    <m/>
    <m/>
    <d v="2017-01-21T00:00:00"/>
    <m/>
    <s v="BYN"/>
    <n v="5000000"/>
    <n v="0"/>
    <n v="2000000"/>
    <n v="0"/>
    <m/>
    <n v="0.2"/>
    <m/>
    <m/>
    <n v="3000000"/>
    <x v="0"/>
    <m/>
    <m/>
    <m/>
    <x v="0"/>
    <m/>
    <m/>
    <n v="800000"/>
    <n v="1200000"/>
    <n v="0"/>
    <n v="1200000"/>
    <s v="Кревский"/>
    <m/>
  </r>
  <r>
    <s v="Закупка"/>
    <s v="исп."/>
    <x v="2"/>
    <s v="договор №58, кабельная продукция(Беларускабель)"/>
    <s v="ТКП №1"/>
    <m/>
    <d v="2017-01-21T00:00:00"/>
    <m/>
    <s v="BYN"/>
    <n v="1000000"/>
    <n v="0"/>
    <n v="950000"/>
    <n v="0"/>
    <m/>
    <m/>
    <d v="2017-01-31T00:00:00"/>
    <n v="73"/>
    <n v="50000"/>
    <x v="0"/>
    <m/>
    <m/>
    <m/>
    <x v="0"/>
    <m/>
    <m/>
    <m/>
    <m/>
    <m/>
    <m/>
    <m/>
    <m/>
  </r>
  <r>
    <s v="Закупка"/>
    <s v="исп."/>
    <x v="2"/>
    <s v="договор №58, кабельная продукция(Беларускабель)"/>
    <s v="ТКП №1"/>
    <s v="ТТН №5"/>
    <d v="2017-01-10T00:00:00"/>
    <m/>
    <s v="BYN"/>
    <m/>
    <m/>
    <n v="500000"/>
    <m/>
    <n v="1"/>
    <n v="0.2"/>
    <d v="2017-01-31T00:00:00"/>
    <n v="0"/>
    <m/>
    <x v="0"/>
    <m/>
    <m/>
    <m/>
    <x v="0"/>
    <m/>
    <m/>
    <m/>
    <n v="0"/>
    <n v="0"/>
    <n v="0"/>
    <n v="0"/>
    <n v="0"/>
  </r>
  <r>
    <s v="Закупка"/>
    <s v="исп."/>
    <x v="2"/>
    <s v="договор №58, кабельная продукция(Беларускабель)"/>
    <s v="ТКП №1"/>
    <s v="ТТН №5"/>
    <d v="2017-01-10T00:00:00"/>
    <m/>
    <m/>
    <m/>
    <m/>
    <m/>
    <m/>
    <m/>
    <m/>
    <m/>
    <m/>
    <m/>
    <x v="17"/>
    <s v="на 11д"/>
    <n v="200000"/>
    <n v="20"/>
    <x v="1"/>
    <s v="1 Расчетный счет"/>
    <d v="2017-02-10T00:00:00"/>
    <n v="200000"/>
    <n v="0"/>
    <n v="0"/>
    <n v="0"/>
    <m/>
    <m/>
  </r>
  <r>
    <s v="Закупка"/>
    <s v="исп."/>
    <x v="2"/>
    <s v="договор №58, кабельная продукция(Беларускабель)"/>
    <s v="ТКП №1"/>
    <s v="ТТН №5"/>
    <d v="2017-01-10T00:00:00"/>
    <m/>
    <m/>
    <m/>
    <m/>
    <m/>
    <m/>
    <m/>
    <m/>
    <m/>
    <m/>
    <m/>
    <x v="18"/>
    <s v="на 31д"/>
    <n v="300000"/>
    <n v="0"/>
    <x v="1"/>
    <s v="1 Расчетный счет"/>
    <d v="2017-02-10T00:00:00"/>
    <n v="300000"/>
    <n v="0"/>
    <n v="0"/>
    <n v="0"/>
    <m/>
    <m/>
  </r>
  <r>
    <s v="Закупка"/>
    <s v="исп."/>
    <x v="2"/>
    <s v="договор №58, кабельная продукция(Беларускабель)"/>
    <s v="ТКП №1"/>
    <s v="ТТН №7"/>
    <d v="2017-01-12T00:00:00"/>
    <m/>
    <s v="BYN"/>
    <m/>
    <m/>
    <n v="450000"/>
    <m/>
    <n v="1"/>
    <n v="0.2"/>
    <d v="2017-01-31T00:00:00"/>
    <n v="-19"/>
    <m/>
    <x v="0"/>
    <m/>
    <m/>
    <m/>
    <x v="0"/>
    <m/>
    <m/>
    <m/>
    <n v="150000"/>
    <n v="0"/>
    <n v="150000"/>
    <n v="0"/>
    <n v="0"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m/>
    <m/>
    <m/>
    <x v="19"/>
    <s v="на 11д"/>
    <n v="180000"/>
    <n v="20"/>
    <x v="3"/>
    <s v="1 Расчетный счет"/>
    <d v="2017-02-12T00:00:00"/>
    <n v="180000"/>
    <m/>
    <m/>
    <m/>
    <m/>
    <m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m/>
    <m/>
    <m/>
    <x v="20"/>
    <s v="на 31д"/>
    <n v="270000"/>
    <n v="0"/>
    <x v="3"/>
    <s v="1 Расчетный счет"/>
    <d v="2017-02-12T00:00:00"/>
    <n v="120000"/>
    <n v="0"/>
    <n v="0"/>
    <n v="0"/>
    <m/>
    <m/>
  </r>
  <r>
    <s v="Закупка"/>
    <s v="исп."/>
    <x v="2"/>
    <s v="договор №58, кабельная продукция(Беларускабель)"/>
    <s v="ТКП №1"/>
    <s v="ТТН №7"/>
    <d v="2017-01-12T00:00:00"/>
    <m/>
    <m/>
    <m/>
    <m/>
    <m/>
    <m/>
    <m/>
    <m/>
    <m/>
    <m/>
    <m/>
    <x v="20"/>
    <m/>
    <m/>
    <m/>
    <x v="2"/>
    <m/>
    <m/>
    <n v="150000"/>
    <n v="150000"/>
    <n v="0"/>
    <n v="150000"/>
    <m/>
    <m/>
  </r>
  <r>
    <s v="Закупка"/>
    <s v="исп."/>
    <x v="2"/>
    <s v="договор №58, кабельная продукция(Беларускабель)"/>
    <s v="ТКП №2"/>
    <m/>
    <d v="2017-01-21T00:00:00"/>
    <m/>
    <s v="BYN"/>
    <n v="1000000"/>
    <m/>
    <n v="1050000"/>
    <n v="0"/>
    <m/>
    <m/>
    <d v="2017-02-28T00:00:00"/>
    <n v="0"/>
    <n v="-50000"/>
    <x v="0"/>
    <m/>
    <m/>
    <m/>
    <x v="0"/>
    <m/>
    <m/>
    <m/>
    <m/>
    <m/>
    <m/>
    <m/>
    <m/>
  </r>
  <r>
    <s v="Закупка"/>
    <s v="исп."/>
    <x v="2"/>
    <s v="договор №58, кабельная продукция(Беларускабель)"/>
    <s v="ТКП №2"/>
    <s v="ТТН №9"/>
    <d v="2017-02-10T00:00:00"/>
    <m/>
    <s v="BYN"/>
    <m/>
    <m/>
    <n v="1050000"/>
    <m/>
    <n v="1"/>
    <n v="0.2"/>
    <d v="2017-02-28T00:00:00"/>
    <n v="-18"/>
    <m/>
    <x v="0"/>
    <m/>
    <m/>
    <m/>
    <x v="0"/>
    <m/>
    <m/>
    <m/>
    <n v="1050000"/>
    <n v="0"/>
    <n v="1050000"/>
    <n v="0"/>
    <n v="0"/>
  </r>
  <r>
    <s v="Закупка"/>
    <s v="исп."/>
    <x v="2"/>
    <s v="договор №58, кабельная продукция(Беларускабель)"/>
    <s v="ТКП №2"/>
    <s v="ТТН №9"/>
    <d v="2017-02-10T00:00:00"/>
    <m/>
    <m/>
    <m/>
    <m/>
    <m/>
    <m/>
    <m/>
    <m/>
    <m/>
    <m/>
    <m/>
    <x v="21"/>
    <s v="на 11д"/>
    <n v="420000"/>
    <n v="52"/>
    <x v="2"/>
    <m/>
    <m/>
    <n v="420000"/>
    <n v="420000"/>
    <n v="0"/>
    <n v="420000"/>
    <m/>
    <m/>
  </r>
  <r>
    <s v="Закупка"/>
    <s v="исп."/>
    <x v="2"/>
    <s v="договор №58, кабельная продукция(Беларускабель)"/>
    <s v="ТКП №2"/>
    <s v="ТТН №9"/>
    <d v="2017-02-10T00:00:00"/>
    <m/>
    <m/>
    <m/>
    <m/>
    <m/>
    <m/>
    <m/>
    <m/>
    <m/>
    <m/>
    <m/>
    <x v="3"/>
    <s v="на 31д"/>
    <n v="630000"/>
    <n v="32"/>
    <x v="2"/>
    <m/>
    <m/>
    <n v="630000"/>
    <n v="630000"/>
    <n v="0"/>
    <n v="630000"/>
    <m/>
    <m/>
  </r>
  <r>
    <s v="Закупка"/>
    <s v="исп."/>
    <x v="2"/>
    <s v="договор №58, кабельная продукция(Беларускабель)"/>
    <s v="ТКП №3"/>
    <m/>
    <d v="2017-01-21T00:00:00"/>
    <m/>
    <s v="BYN"/>
    <n v="1000000"/>
    <m/>
    <m/>
    <m/>
    <m/>
    <m/>
    <d v="2017-03-31T00:00:00"/>
    <n v="14"/>
    <n v="1000000"/>
    <x v="0"/>
    <m/>
    <m/>
    <m/>
    <x v="0"/>
    <m/>
    <m/>
    <m/>
    <m/>
    <m/>
    <m/>
    <m/>
    <m/>
  </r>
  <r>
    <s v="Закупка"/>
    <s v="исп."/>
    <x v="2"/>
    <s v="договор №58, кабельная продукция(Беларускабель)"/>
    <s v="ТКП №4"/>
    <m/>
    <d v="2017-01-21T00:00:00"/>
    <m/>
    <s v="BYN"/>
    <n v="2000000"/>
    <m/>
    <m/>
    <m/>
    <m/>
    <m/>
    <d v="2017-04-30T00:00:00"/>
    <n v="-16"/>
    <n v="2000000"/>
    <x v="0"/>
    <m/>
    <m/>
    <m/>
    <x v="0"/>
    <m/>
    <m/>
    <m/>
    <m/>
    <m/>
    <m/>
    <m/>
    <m/>
  </r>
  <r>
    <m/>
    <m/>
    <x v="0"/>
    <m/>
    <m/>
    <m/>
    <m/>
    <m/>
    <m/>
    <m/>
    <m/>
    <m/>
    <m/>
    <m/>
    <m/>
    <m/>
    <m/>
    <m/>
    <x v="0"/>
    <m/>
    <m/>
    <m/>
    <x v="0"/>
    <m/>
    <m/>
    <m/>
    <m/>
    <m/>
    <m/>
    <m/>
    <m/>
  </r>
  <r>
    <m/>
    <s v="Если в договоре:"/>
    <x v="0"/>
    <m/>
    <s v="отсутствуют ТКП и/или ФКП(либо их статус не исполняемый), либо ситуация, когда ТКП и/или ФКП превышают/меньше суммы договора"/>
    <m/>
    <m/>
    <m/>
    <m/>
    <m/>
    <m/>
    <m/>
    <m/>
    <m/>
    <m/>
    <m/>
    <m/>
    <m/>
    <x v="0"/>
    <m/>
    <m/>
    <m/>
    <x v="0"/>
    <m/>
    <m/>
    <m/>
    <m/>
    <m/>
    <m/>
    <m/>
    <m/>
  </r>
  <r>
    <m/>
    <s v="Тогда отчет по договору выглядит следующим образом:"/>
    <x v="0"/>
    <m/>
    <m/>
    <m/>
    <m/>
    <m/>
    <m/>
    <m/>
    <m/>
    <m/>
    <m/>
    <m/>
    <m/>
    <m/>
    <m/>
    <m/>
    <x v="0"/>
    <m/>
    <m/>
    <m/>
    <x v="0"/>
    <m/>
    <m/>
    <m/>
    <m/>
    <m/>
    <m/>
    <m/>
    <m/>
  </r>
  <r>
    <m/>
    <m/>
    <x v="0"/>
    <m/>
    <m/>
    <m/>
    <m/>
    <m/>
    <m/>
    <m/>
    <m/>
    <m/>
    <m/>
    <m/>
    <m/>
    <m/>
    <m/>
    <m/>
    <x v="0"/>
    <m/>
    <m/>
    <m/>
    <x v="0"/>
    <m/>
    <m/>
    <m/>
    <m/>
    <m/>
    <m/>
    <m/>
    <m/>
  </r>
  <r>
    <s v="Закупка"/>
    <m/>
    <x v="3"/>
    <m/>
    <m/>
    <m/>
    <m/>
    <m/>
    <m/>
    <n v="5000000"/>
    <n v="0"/>
    <n v="1000000"/>
    <n v="0"/>
    <m/>
    <m/>
    <m/>
    <m/>
    <n v="4000000"/>
    <x v="0"/>
    <m/>
    <m/>
    <m/>
    <x v="0"/>
    <m/>
    <m/>
    <n v="600000"/>
    <n v="880000"/>
    <n v="0"/>
    <n v="880000"/>
    <m/>
    <m/>
  </r>
  <r>
    <s v="Закупка"/>
    <s v="исп."/>
    <x v="3"/>
    <s v="договор №112, шкафы ОРШ"/>
    <m/>
    <m/>
    <d v="2017-01-21T00:00:00"/>
    <m/>
    <s v="BYN"/>
    <n v="5000000"/>
    <n v="0"/>
    <n v="1000000"/>
    <n v="0"/>
    <m/>
    <n v="0.2"/>
    <m/>
    <m/>
    <n v="4000000"/>
    <x v="0"/>
    <m/>
    <m/>
    <m/>
    <x v="0"/>
    <m/>
    <m/>
    <n v="600000"/>
    <n v="880000"/>
    <n v="0"/>
    <n v="880000"/>
    <s v="Гупалович"/>
    <m/>
  </r>
  <r>
    <s v="Закупка"/>
    <s v="исп."/>
    <x v="3"/>
    <s v="договор №112, шкафы ОРШ"/>
    <s v="всего не определено ТКП"/>
    <m/>
    <m/>
    <m/>
    <m/>
    <n v="5000000"/>
    <m/>
    <m/>
    <m/>
    <m/>
    <m/>
    <m/>
    <m/>
    <m/>
    <x v="0"/>
    <m/>
    <m/>
    <m/>
    <x v="0"/>
    <m/>
    <m/>
    <m/>
    <m/>
    <m/>
    <n v="0"/>
    <m/>
    <m/>
  </r>
  <r>
    <s v="Закупка"/>
    <s v="исп."/>
    <x v="3"/>
    <s v="договор №112, шкафы ОРШ"/>
    <s v="не определено ТКП"/>
    <s v="ТТН №5"/>
    <d v="2017-01-10T00:00:00"/>
    <m/>
    <s v="BYN"/>
    <m/>
    <m/>
    <n v="500000"/>
    <m/>
    <n v="1"/>
    <n v="0.2"/>
    <m/>
    <m/>
    <m/>
    <x v="0"/>
    <m/>
    <m/>
    <m/>
    <x v="0"/>
    <m/>
    <m/>
    <n v="120000"/>
    <n v="380000"/>
    <n v="0"/>
    <n v="380000"/>
    <m/>
    <m/>
  </r>
  <r>
    <s v="Закупка"/>
    <s v="исп."/>
    <x v="3"/>
    <s v="договор №112, шкафы ОРШ"/>
    <s v="не определено ТКП"/>
    <s v="ТТН №5"/>
    <d v="2017-01-10T00:00:00"/>
    <m/>
    <m/>
    <m/>
    <m/>
    <m/>
    <m/>
    <m/>
    <m/>
    <m/>
    <m/>
    <m/>
    <x v="0"/>
    <s v="не определено ФКП"/>
    <m/>
    <m/>
    <x v="3"/>
    <s v="1 Расчетный счет"/>
    <d v="2017-02-12T00:00:00"/>
    <n v="120000"/>
    <n v="0"/>
    <n v="0"/>
    <n v="0"/>
    <m/>
    <m/>
  </r>
  <r>
    <s v="Закупка"/>
    <s v="исп."/>
    <x v="3"/>
    <s v="договор №112, шкафы ОРШ"/>
    <s v="не определено ТКП"/>
    <s v="ТТН №5"/>
    <d v="2017-01-10T00:00:00"/>
    <m/>
    <m/>
    <m/>
    <m/>
    <m/>
    <m/>
    <m/>
    <m/>
    <m/>
    <m/>
    <m/>
    <x v="0"/>
    <s v="не определено ФКП"/>
    <m/>
    <m/>
    <x v="2"/>
    <m/>
    <m/>
    <n v="380000"/>
    <n v="380000"/>
    <n v="0"/>
    <n v="380000"/>
    <m/>
    <m/>
  </r>
  <r>
    <s v="Закупка"/>
    <s v="исп."/>
    <x v="3"/>
    <s v="договор №112, шкафы ОРШ"/>
    <s v="не определено ТКП"/>
    <s v="ТТН №7"/>
    <d v="2017-01-12T00:00:00"/>
    <m/>
    <s v="BYN"/>
    <m/>
    <m/>
    <n v="450000"/>
    <m/>
    <n v="1"/>
    <n v="0.2"/>
    <m/>
    <m/>
    <m/>
    <x v="0"/>
    <m/>
    <m/>
    <m/>
    <x v="0"/>
    <m/>
    <m/>
    <n v="0"/>
    <n v="450000"/>
    <n v="0"/>
    <n v="450000"/>
    <m/>
    <m/>
  </r>
  <r>
    <s v="Закупка"/>
    <s v="исп."/>
    <x v="3"/>
    <s v="договор №112, шкафы ОРШ"/>
    <s v="не определено ТКП"/>
    <s v="ТТН №7"/>
    <d v="2017-01-12T00:00:00"/>
    <m/>
    <m/>
    <m/>
    <m/>
    <m/>
    <m/>
    <m/>
    <m/>
    <m/>
    <m/>
    <m/>
    <x v="0"/>
    <s v="не определено ФКП"/>
    <m/>
    <m/>
    <x v="2"/>
    <m/>
    <m/>
    <n v="450000"/>
    <n v="450000"/>
    <n v="0"/>
    <n v="450000"/>
    <m/>
    <m/>
  </r>
  <r>
    <s v="Закупка"/>
    <s v="исп."/>
    <x v="3"/>
    <s v="договор №112, шкафы ОРШ"/>
    <s v="не определено ТКП"/>
    <s v="ТТН №9"/>
    <d v="2017-02-03T00:00:00"/>
    <m/>
    <s v="BYN"/>
    <m/>
    <m/>
    <n v="50000"/>
    <m/>
    <n v="1"/>
    <n v="0.2"/>
    <m/>
    <m/>
    <m/>
    <x v="0"/>
    <m/>
    <m/>
    <m/>
    <x v="0"/>
    <m/>
    <m/>
    <n v="0"/>
    <n v="50000"/>
    <n v="0"/>
    <n v="50000"/>
    <m/>
    <m/>
  </r>
  <r>
    <s v="Закупка"/>
    <s v="исп."/>
    <x v="3"/>
    <s v="договор №112, шкафы ОРШ"/>
    <s v="не определено ТКП"/>
    <s v="ТТН №9"/>
    <d v="2017-02-03T00:00:00"/>
    <m/>
    <m/>
    <m/>
    <m/>
    <m/>
    <m/>
    <m/>
    <m/>
    <m/>
    <m/>
    <m/>
    <x v="0"/>
    <s v="не определено ФКП"/>
    <m/>
    <m/>
    <x v="2"/>
    <m/>
    <m/>
    <n v="50000"/>
    <n v="50000"/>
    <n v="0"/>
    <n v="50000"/>
    <m/>
    <m/>
  </r>
  <r>
    <s v="Закупка"/>
    <s v="исп."/>
    <x v="3"/>
    <s v="договор №112, шкафы ОРШ"/>
    <m/>
    <m/>
    <m/>
    <m/>
    <m/>
    <m/>
    <m/>
    <m/>
    <m/>
    <m/>
    <m/>
    <m/>
    <m/>
    <m/>
    <x v="0"/>
    <s v="всего не определено ФКП"/>
    <n v="5000000"/>
    <m/>
    <x v="0"/>
    <m/>
    <m/>
    <m/>
    <n v="0"/>
    <n v="0"/>
    <n v="0"/>
    <m/>
    <m/>
  </r>
  <r>
    <s v="Закупка"/>
    <s v="исп."/>
    <x v="3"/>
    <s v="договор №112, шкафы ОРШ"/>
    <m/>
    <m/>
    <m/>
    <m/>
    <m/>
    <m/>
    <m/>
    <m/>
    <m/>
    <m/>
    <m/>
    <m/>
    <m/>
    <m/>
    <x v="0"/>
    <s v="не распределены платежи"/>
    <m/>
    <m/>
    <x v="12"/>
    <s v="1 Расчетный счет"/>
    <d v="2017-02-22T00:00:00"/>
    <n v="280000"/>
    <n v="0"/>
    <n v="0"/>
    <n v="0"/>
    <m/>
    <m/>
  </r>
  <r>
    <s v="Закупка"/>
    <s v="исп."/>
    <x v="3"/>
    <s v="договор №112, шкафы ОРШ"/>
    <m/>
    <m/>
    <m/>
    <m/>
    <m/>
    <m/>
    <m/>
    <m/>
    <m/>
    <m/>
    <m/>
    <m/>
    <m/>
    <m/>
    <x v="0"/>
    <m/>
    <m/>
    <m/>
    <x v="13"/>
    <s v="1 Расчетный счет"/>
    <d v="2017-03-12T00:00:00"/>
    <n v="200000"/>
    <n v="0"/>
    <n v="0"/>
    <n v="0"/>
    <m/>
    <m/>
  </r>
  <r>
    <m/>
    <m/>
    <x v="0"/>
    <m/>
    <m/>
    <m/>
    <m/>
    <m/>
    <m/>
    <m/>
    <m/>
    <m/>
    <m/>
    <m/>
    <m/>
    <m/>
    <m/>
    <m/>
    <x v="0"/>
    <m/>
    <m/>
    <m/>
    <x v="0"/>
    <m/>
    <m/>
    <m/>
    <m/>
    <m/>
    <m/>
    <m/>
    <m/>
  </r>
  <r>
    <m/>
    <m/>
    <x v="0"/>
    <m/>
    <s v="Если АКТ/ТТН не &quot;привязан&quot; к ТКП, то в ячейке перед соответствующим актом вставляем надпись &quot;не определено ТКП&quot;"/>
    <m/>
    <m/>
    <m/>
    <m/>
    <m/>
    <m/>
    <m/>
    <m/>
    <m/>
    <m/>
    <m/>
    <m/>
    <m/>
    <x v="0"/>
    <m/>
    <m/>
    <m/>
    <x v="0"/>
    <m/>
    <m/>
    <m/>
    <m/>
    <m/>
    <m/>
    <m/>
    <m/>
  </r>
  <r>
    <s v="Закупка"/>
    <m/>
    <x v="4"/>
    <m/>
    <m/>
    <m/>
    <m/>
    <m/>
    <m/>
    <n v="5000000"/>
    <n v="0"/>
    <n v="2500000"/>
    <n v="1000000"/>
    <m/>
    <m/>
    <m/>
    <m/>
    <n v="2500000"/>
    <x v="0"/>
    <m/>
    <m/>
    <m/>
    <x v="0"/>
    <m/>
    <m/>
    <n v="2500000"/>
    <n v="2000000"/>
    <n v="1000000"/>
    <n v="2000000"/>
    <m/>
    <m/>
  </r>
  <r>
    <s v="Закупка"/>
    <s v="исп."/>
    <x v="4"/>
    <s v="договор №41, оборудование DSLAM"/>
    <m/>
    <m/>
    <d v="2017-01-21T00:00:00"/>
    <m/>
    <s v="BYN"/>
    <n v="5000000"/>
    <n v="0"/>
    <n v="2500000"/>
    <n v="1000000"/>
    <m/>
    <n v="0.2"/>
    <m/>
    <m/>
    <n v="2500000"/>
    <x v="0"/>
    <m/>
    <m/>
    <m/>
    <x v="0"/>
    <m/>
    <m/>
    <n v="2500000"/>
    <n v="2000000"/>
    <n v="1000000"/>
    <n v="2000000"/>
    <s v="Кревский"/>
    <m/>
  </r>
  <r>
    <s v="Закупка"/>
    <s v="исп."/>
    <x v="4"/>
    <s v="договор №41, оборудование DSLAM"/>
    <s v="ТКП №1"/>
    <m/>
    <d v="2017-01-21T00:00:00"/>
    <m/>
    <s v="BYN"/>
    <n v="1000000"/>
    <n v="0"/>
    <n v="1000000"/>
    <n v="500000"/>
    <m/>
    <m/>
    <d v="2017-01-31T00:00:00"/>
    <n v="0"/>
    <n v="0"/>
    <x v="0"/>
    <m/>
    <m/>
    <m/>
    <x v="0"/>
    <m/>
    <m/>
    <m/>
    <m/>
    <n v="0"/>
    <n v="0"/>
    <m/>
    <m/>
  </r>
  <r>
    <s v="Закупка"/>
    <s v="исп."/>
    <x v="4"/>
    <s v="договор №41, оборудование DSLAM"/>
    <s v="ТКП №1"/>
    <s v="ТТН №1"/>
    <d v="2017-01-20T00:00:00"/>
    <m/>
    <s v="BYN"/>
    <m/>
    <m/>
    <n v="1000000"/>
    <n v="500000"/>
    <m/>
    <n v="0.2"/>
    <d v="2017-01-31T00:00:00"/>
    <n v="0"/>
    <m/>
    <x v="0"/>
    <m/>
    <m/>
    <m/>
    <x v="0"/>
    <m/>
    <m/>
    <n v="1000000"/>
    <n v="0"/>
    <n v="0"/>
    <n v="0"/>
    <m/>
    <m/>
  </r>
  <r>
    <s v="Закупка"/>
    <s v="исп."/>
    <x v="4"/>
    <s v="договор №41, оборудование DSLAM"/>
    <s v="ТКП №1"/>
    <s v="ТТН №1"/>
    <d v="2017-01-20T00:00:00"/>
    <m/>
    <m/>
    <m/>
    <m/>
    <m/>
    <m/>
    <m/>
    <m/>
    <m/>
    <m/>
    <m/>
    <x v="0"/>
    <m/>
    <m/>
    <m/>
    <x v="14"/>
    <s v="1 Расчетный счет"/>
    <d v="2017-01-10T00:00:00"/>
    <n v="500000"/>
    <n v="0"/>
    <n v="0"/>
    <n v="0"/>
    <m/>
    <m/>
  </r>
  <r>
    <s v="Закупка"/>
    <s v="исп."/>
    <x v="4"/>
    <s v="договор №41, оборудование DSLAM"/>
    <s v="ТКП №1"/>
    <s v="ТТН №1"/>
    <d v="2017-01-20T00:00:00"/>
    <m/>
    <m/>
    <m/>
    <m/>
    <m/>
    <m/>
    <m/>
    <m/>
    <m/>
    <m/>
    <m/>
    <x v="14"/>
    <m/>
    <n v="500000"/>
    <n v="-10"/>
    <x v="1"/>
    <s v="1 Расчетный счет"/>
    <d v="2017-02-10T00:00:00"/>
    <n v="500000"/>
    <n v="0"/>
    <n v="0"/>
    <n v="0"/>
    <m/>
    <m/>
  </r>
  <r>
    <s v="Закупка"/>
    <s v="исп."/>
    <x v="4"/>
    <s v="договор №41, оборудование DSLAM"/>
    <s v="ТКП №2"/>
    <m/>
    <d v="2017-01-21T00:00:00"/>
    <m/>
    <s v="BYN"/>
    <n v="1000000"/>
    <m/>
    <n v="1000000"/>
    <n v="500000"/>
    <m/>
    <m/>
    <d v="2017-02-28T00:00:00"/>
    <n v="0"/>
    <n v="0"/>
    <x v="0"/>
    <m/>
    <m/>
    <m/>
    <x v="0"/>
    <m/>
    <m/>
    <m/>
    <n v="0"/>
    <n v="0"/>
    <n v="0"/>
    <m/>
    <m/>
  </r>
  <r>
    <s v="Закупка"/>
    <s v="исп."/>
    <x v="4"/>
    <s v="договор №41, оборудование DSLAM"/>
    <s v="ТКП №2"/>
    <s v="ТТН №2"/>
    <d v="2017-02-23T00:00:00"/>
    <m/>
    <s v="BYN"/>
    <m/>
    <m/>
    <n v="1000000"/>
    <n v="500000"/>
    <m/>
    <n v="0.2"/>
    <d v="2017-02-28T00:00:00"/>
    <n v="-5"/>
    <m/>
    <x v="0"/>
    <m/>
    <m/>
    <m/>
    <x v="0"/>
    <m/>
    <m/>
    <n v="500000"/>
    <n v="500000"/>
    <n v="0"/>
    <n v="500000"/>
    <m/>
    <m/>
  </r>
  <r>
    <s v="Закупка"/>
    <s v="исп."/>
    <x v="4"/>
    <s v="договор №41, оборудование DSLAM"/>
    <s v="ТКП №2"/>
    <s v="ТТН №2"/>
    <d v="2017-02-23T00:00:00"/>
    <m/>
    <m/>
    <m/>
    <m/>
    <m/>
    <m/>
    <m/>
    <m/>
    <m/>
    <m/>
    <m/>
    <x v="0"/>
    <m/>
    <m/>
    <m/>
    <x v="9"/>
    <s v="1 Расчетный счет"/>
    <d v="2017-02-09T00:00:00"/>
    <n v="500000"/>
    <n v="0"/>
    <n v="0"/>
    <n v="0"/>
    <m/>
    <m/>
  </r>
  <r>
    <s v="Закупка"/>
    <s v="исп."/>
    <x v="4"/>
    <s v="договор №41, оборудование DSLAM"/>
    <s v="ТКП №2"/>
    <s v="ТТН №2"/>
    <d v="2017-02-23T00:00:00"/>
    <m/>
    <m/>
    <m/>
    <m/>
    <m/>
    <m/>
    <m/>
    <m/>
    <m/>
    <m/>
    <m/>
    <x v="22"/>
    <m/>
    <n v="500000"/>
    <n v="19"/>
    <x v="2"/>
    <m/>
    <m/>
    <n v="500000"/>
    <n v="500000"/>
    <n v="0"/>
    <n v="500000"/>
    <m/>
    <m/>
  </r>
  <r>
    <s v="Закупка"/>
    <s v="исп."/>
    <x v="4"/>
    <s v="договор №41, оборудование DSLAM"/>
    <s v="ТКП №3"/>
    <m/>
    <d v="2017-01-21T00:00:00"/>
    <m/>
    <s v="BYN"/>
    <n v="1000000"/>
    <m/>
    <m/>
    <m/>
    <m/>
    <m/>
    <d v="2017-03-31T00:00:00"/>
    <n v="14"/>
    <n v="1000000"/>
    <x v="0"/>
    <m/>
    <m/>
    <m/>
    <x v="0"/>
    <m/>
    <m/>
    <m/>
    <n v="0"/>
    <n v="0"/>
    <n v="0"/>
    <m/>
    <m/>
  </r>
  <r>
    <s v="Закупка"/>
    <s v="исп."/>
    <x v="4"/>
    <s v="договор №41, оборудование DSLAM"/>
    <s v="ТКП №4"/>
    <m/>
    <d v="2017-01-21T00:00:00"/>
    <m/>
    <s v="BYN"/>
    <n v="1000000"/>
    <m/>
    <m/>
    <m/>
    <m/>
    <m/>
    <d v="2017-04-30T00:00:00"/>
    <n v="-16"/>
    <n v="1000000"/>
    <x v="0"/>
    <m/>
    <m/>
    <m/>
    <x v="0"/>
    <m/>
    <m/>
    <m/>
    <m/>
    <m/>
    <n v="0"/>
    <m/>
    <m/>
  </r>
  <r>
    <s v="Закупка"/>
    <s v="исп."/>
    <x v="4"/>
    <s v="договор №41, оборудование DSLAM"/>
    <s v="авансовый ФКП №1"/>
    <m/>
    <d v="2017-01-21T00:00:00"/>
    <m/>
    <s v="BYN"/>
    <m/>
    <m/>
    <m/>
    <m/>
    <m/>
    <m/>
    <m/>
    <m/>
    <m/>
    <x v="23"/>
    <s v="аванс"/>
    <n v="0"/>
    <n v="0"/>
    <x v="14"/>
    <s v="1 Расчетный счет"/>
    <d v="2017-01-10T00:00:00"/>
    <n v="500000"/>
    <n v="0"/>
    <n v="0"/>
    <n v="0"/>
    <m/>
    <m/>
  </r>
  <r>
    <s v="Закупка"/>
    <s v="исп."/>
    <x v="4"/>
    <s v="договор №41, оборудование DSLAM"/>
    <s v="авансовый ФКП №2"/>
    <m/>
    <d v="2017-01-21T00:00:00"/>
    <m/>
    <s v="BYN"/>
    <m/>
    <m/>
    <m/>
    <m/>
    <m/>
    <m/>
    <m/>
    <m/>
    <m/>
    <x v="18"/>
    <s v="аванс"/>
    <n v="0"/>
    <n v="-1"/>
    <x v="9"/>
    <s v="1 Расчетный счет"/>
    <d v="2017-02-09T00:00:00"/>
    <n v="500000"/>
    <n v="0"/>
    <n v="0"/>
    <n v="0"/>
    <m/>
    <m/>
  </r>
  <r>
    <s v="Закупка"/>
    <s v="исп."/>
    <x v="4"/>
    <s v="договор №41, оборудование DSLAM"/>
    <s v="авансовый ФКП №3"/>
    <m/>
    <d v="2017-01-21T00:00:00"/>
    <m/>
    <s v="BYN"/>
    <m/>
    <m/>
    <m/>
    <m/>
    <m/>
    <m/>
    <m/>
    <m/>
    <m/>
    <x v="24"/>
    <s v="аванс"/>
    <n v="0"/>
    <n v="35"/>
    <x v="2"/>
    <m/>
    <m/>
    <n v="500000"/>
    <n v="500000"/>
    <n v="500000"/>
    <n v="500000"/>
    <m/>
    <m/>
  </r>
  <r>
    <s v="Закупка"/>
    <s v="исп."/>
    <x v="4"/>
    <s v="договор №41, оборудование DSLAM"/>
    <s v="авансовый ФКП №4"/>
    <m/>
    <d v="2017-01-21T00:00:00"/>
    <m/>
    <s v="BYN"/>
    <m/>
    <m/>
    <m/>
    <m/>
    <m/>
    <m/>
    <m/>
    <m/>
    <m/>
    <x v="25"/>
    <s v="аванс"/>
    <n v="0"/>
    <n v="4"/>
    <x v="2"/>
    <m/>
    <m/>
    <n v="500000"/>
    <n v="500000"/>
    <n v="500000"/>
    <n v="500000"/>
    <m/>
    <m/>
  </r>
  <r>
    <s v="Закупка"/>
    <s v="исп."/>
    <x v="4"/>
    <s v="договор №41, оборудование DSLAM"/>
    <s v="не определено ТКП"/>
    <s v="ТТН №7"/>
    <d v="2017-03-12T00:00:00"/>
    <m/>
    <s v="BYN"/>
    <m/>
    <m/>
    <n v="500000"/>
    <m/>
    <m/>
    <n v="0.2"/>
    <m/>
    <m/>
    <m/>
    <x v="0"/>
    <m/>
    <m/>
    <m/>
    <x v="0"/>
    <m/>
    <m/>
    <n v="0"/>
    <n v="500000"/>
    <n v="0"/>
    <n v="500000"/>
    <m/>
    <m/>
  </r>
  <r>
    <s v="Закупка"/>
    <s v="исп."/>
    <x v="4"/>
    <s v="договор №41, оборудование DSLAM"/>
    <s v="не определено ТКП"/>
    <s v="ТТН №7"/>
    <d v="2017-03-12T00:00:00"/>
    <m/>
    <m/>
    <m/>
    <m/>
    <m/>
    <m/>
    <m/>
    <m/>
    <m/>
    <m/>
    <m/>
    <x v="0"/>
    <s v="не определено ФКП"/>
    <m/>
    <m/>
    <x v="2"/>
    <m/>
    <m/>
    <n v="500000"/>
    <n v="500000"/>
    <n v="0"/>
    <n v="500000"/>
    <m/>
    <m/>
  </r>
  <r>
    <s v="Закупка"/>
    <s v="исп."/>
    <x v="4"/>
    <s v="договор №41, оборудование DSLAM"/>
    <s v="всего не определено ТКП"/>
    <m/>
    <m/>
    <m/>
    <m/>
    <n v="1000000"/>
    <m/>
    <m/>
    <m/>
    <m/>
    <m/>
    <m/>
    <m/>
    <m/>
    <x v="0"/>
    <m/>
    <m/>
    <m/>
    <x v="0"/>
    <m/>
    <m/>
    <m/>
    <m/>
    <m/>
    <n v="0"/>
    <m/>
    <m/>
  </r>
  <r>
    <s v="Закупка"/>
    <s v="исп."/>
    <x v="4"/>
    <s v="договор №41, оборудование DSLAM"/>
    <m/>
    <m/>
    <m/>
    <m/>
    <m/>
    <m/>
    <m/>
    <m/>
    <m/>
    <m/>
    <m/>
    <m/>
    <m/>
    <m/>
    <x v="0"/>
    <s v="всего не определено ФКП"/>
    <n v="1000000"/>
    <m/>
    <x v="0"/>
    <m/>
    <m/>
    <m/>
    <n v="0"/>
    <n v="0"/>
    <n v="0"/>
    <m/>
    <m/>
  </r>
  <r>
    <s v="Закупка"/>
    <s v="исп."/>
    <x v="4"/>
    <s v="договор №41, оборудование DSLAM"/>
    <m/>
    <m/>
    <m/>
    <m/>
    <m/>
    <m/>
    <m/>
    <m/>
    <m/>
    <m/>
    <m/>
    <m/>
    <m/>
    <m/>
    <x v="0"/>
    <s v="не распределены платежи"/>
    <m/>
    <m/>
    <x v="12"/>
    <s v="1 Расчетный счет"/>
    <d v="2017-03-25T00:00:00"/>
    <n v="500000"/>
    <n v="0"/>
    <n v="0"/>
    <n v="0"/>
    <m/>
    <m/>
  </r>
  <r>
    <s v="Закупка"/>
    <s v="исп."/>
    <x v="4"/>
    <s v="договор №41, оборудование DSLAM"/>
    <m/>
    <m/>
    <m/>
    <m/>
    <m/>
    <m/>
    <m/>
    <m/>
    <m/>
    <m/>
    <m/>
    <m/>
    <m/>
    <m/>
    <x v="0"/>
    <m/>
    <m/>
    <m/>
    <x v="13"/>
    <s v="1 Расчетный счет"/>
    <d v="2017-03-09T00:00:00"/>
    <n v="500000"/>
    <n v="0"/>
    <n v="0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multipleFieldFilters="0">
  <location ref="A3:G10" firstHeaderRow="1" firstDataRow="2" firstDataCol="1" rowPageCount="1" colPageCount="1"/>
  <pivotFields count="29">
    <pivotField showAll="0"/>
    <pivotField showAll="0"/>
    <pivotField axis="axisRow" showAll="0">
      <items count="7">
        <item m="1"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Col" showAll="0">
      <items count="6">
        <item x="1"/>
        <item x="2"/>
        <item x="3"/>
        <item x="4"/>
        <item x="0"/>
        <item t="default"/>
      </items>
    </pivotField>
    <pivotField axis="axisPage" multipleItemSelectionAllowed="1" showAll="0">
      <items count="16">
        <item h="1" m="1" x="12"/>
        <item h="1" m="1" x="10"/>
        <item h="1" x="5"/>
        <item h="1" x="8"/>
        <item h="1" x="2"/>
        <item m="1" x="13"/>
        <item m="1" x="11"/>
        <item m="1" x="9"/>
        <item m="1" x="14"/>
        <item x="0"/>
        <item x="6"/>
        <item x="1"/>
        <item x="3"/>
        <item x="4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Сумма по полю Текущая задолженность по отгрузке" fld="17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2" count="4">
            <x v="0"/>
            <x v="2"/>
            <x v="3"/>
            <x v="4"/>
          </reference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L9" firstHeaderRow="1" firstDataRow="2" firstDataCol="1" rowPageCount="1" colPageCount="1"/>
  <pivotFields count="31">
    <pivotField showAll="0"/>
    <pivotField showAll="0"/>
    <pivotField axis="axisRow" showAll="0">
      <items count="7">
        <item m="1"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axis="axisPage" multipleItemSelectionAllowed="1" showAll="0">
      <items count="17">
        <item h="1" m="1" x="15"/>
        <item h="1" x="2"/>
        <item x="1"/>
        <item x="3"/>
        <item x="5"/>
        <item x="8"/>
        <item x="14"/>
        <item x="9"/>
        <item x="10"/>
        <item x="11"/>
        <item x="4"/>
        <item x="6"/>
        <item x="12"/>
        <item x="13"/>
        <item h="1" x="0"/>
        <item x="7"/>
        <item t="default"/>
      </items>
    </pivotField>
    <pivotField multipleItemSelectionAllowed="1" showAll="0"/>
    <pivotField showAll="0"/>
    <pivotField dataField="1" showAll="0"/>
    <pivotField multipleItemSelectionAllowed="1" showAll="0"/>
    <pivotField showAll="0"/>
    <pivotField showAll="0" defaultSubtotal="0"/>
    <pivotField showAll="0"/>
    <pivotField showAll="0" defaultSubtota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18"/>
  </colFields>
  <colItems count="11">
    <i>
      <x/>
    </i>
    <i>
      <x v="2"/>
    </i>
    <i>
      <x v="5"/>
    </i>
    <i>
      <x v="6"/>
    </i>
    <i>
      <x v="8"/>
    </i>
    <i>
      <x v="10"/>
    </i>
    <i>
      <x v="12"/>
    </i>
    <i>
      <x v="14"/>
    </i>
    <i>
      <x v="16"/>
    </i>
    <i>
      <x v="21"/>
    </i>
    <i t="grand">
      <x/>
    </i>
  </colItems>
  <pageFields count="1">
    <pageField fld="22" hier="-1"/>
  </pageFields>
  <dataFields count="1">
    <dataField name="Сумма по полю Сумма платежей по документу (факт)" fld="25" baseField="0" baseItem="0"/>
  </dataFields>
  <formats count="8">
    <format dxfId="7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fieldPosition="0">
        <references count="1">
          <reference field="2" count="5">
            <x v="1"/>
            <x v="2"/>
            <x v="3"/>
            <x v="4"/>
            <x v="5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6"/>
  <sheetViews>
    <sheetView tabSelected="1" view="pageBreakPreview" zoomScale="85" zoomScaleNormal="100" zoomScaleSheetLayoutView="85" workbookViewId="0">
      <pane xSplit="7" ySplit="4" topLeftCell="H56" activePane="bottomRight" state="frozen"/>
      <selection pane="topRight" activeCell="H1" sqref="H1"/>
      <selection pane="bottomLeft" activeCell="A6" sqref="A6"/>
      <selection pane="bottomRight" activeCell="E92" sqref="E92"/>
    </sheetView>
  </sheetViews>
  <sheetFormatPr defaultRowHeight="13.8" outlineLevelRow="1" outlineLevelCol="1" x14ac:dyDescent="0.3"/>
  <cols>
    <col min="1" max="1" width="3.6640625" customWidth="1"/>
    <col min="2" max="2" width="4.44140625" customWidth="1"/>
    <col min="3" max="3" width="4.33203125" customWidth="1"/>
    <col min="4" max="4" width="11.33203125" customWidth="1"/>
    <col min="5" max="5" width="8.6640625" customWidth="1"/>
    <col min="6" max="6" width="13.44140625" customWidth="1"/>
    <col min="7" max="7" width="9.88671875" bestFit="1" customWidth="1"/>
    <col min="8" max="8" width="11.109375" customWidth="1"/>
    <col min="9" max="9" width="4.33203125" customWidth="1"/>
    <col min="10" max="10" width="15.6640625" customWidth="1" outlineLevel="1"/>
    <col min="11" max="11" width="13.5546875" customWidth="1" outlineLevel="1"/>
    <col min="12" max="12" width="15.6640625" customWidth="1"/>
    <col min="13" max="13" width="14.5546875" customWidth="1"/>
    <col min="14" max="15" width="5.88671875" customWidth="1"/>
    <col min="16" max="16" width="10" customWidth="1" outlineLevel="1"/>
    <col min="17" max="17" width="5.5546875" customWidth="1" outlineLevel="1"/>
    <col min="18" max="18" width="15.21875" customWidth="1" outlineLevel="1"/>
    <col min="19" max="19" width="13.6640625" customWidth="1"/>
    <col min="20" max="20" width="9.6640625" customWidth="1"/>
    <col min="21" max="21" width="13.5546875" customWidth="1"/>
    <col min="22" max="22" width="6.44140625" customWidth="1"/>
    <col min="23" max="23" width="9" customWidth="1"/>
    <col min="24" max="24" width="9" customWidth="1" outlineLevel="1"/>
    <col min="25" max="25" width="9.88671875" customWidth="1" outlineLevel="1"/>
    <col min="26" max="26" width="14.44140625" customWidth="1"/>
    <col min="27" max="27" width="14.77734375" customWidth="1"/>
    <col min="28" max="28" width="15.109375" customWidth="1"/>
    <col min="29" max="29" width="15.33203125" style="14" customWidth="1"/>
    <col min="30" max="30" width="7.109375" customWidth="1" outlineLevel="1"/>
    <col min="31" max="31" width="15.33203125" customWidth="1" outlineLevel="1"/>
  </cols>
  <sheetData>
    <row r="1" spans="1:31" ht="15.6" x14ac:dyDescent="0.3">
      <c r="D1" s="75" t="s">
        <v>101</v>
      </c>
      <c r="I1" s="35"/>
    </row>
    <row r="2" spans="1:31" x14ac:dyDescent="0.3">
      <c r="A2" s="14" t="s">
        <v>34</v>
      </c>
      <c r="E2" s="35"/>
      <c r="AA2" s="30"/>
    </row>
    <row r="3" spans="1:31" x14ac:dyDescent="0.3">
      <c r="A3" s="77" t="s">
        <v>100</v>
      </c>
      <c r="D3" s="109">
        <v>42839</v>
      </c>
      <c r="E3" s="31"/>
      <c r="F3" s="34"/>
      <c r="G3" s="31"/>
      <c r="H3" s="31"/>
      <c r="I3" s="31"/>
      <c r="J3" s="34" t="s">
        <v>113</v>
      </c>
      <c r="K3" s="31"/>
      <c r="L3" s="31"/>
      <c r="M3" s="31"/>
      <c r="N3" s="31"/>
      <c r="O3" s="31"/>
      <c r="P3" s="31"/>
      <c r="Q3" s="31"/>
      <c r="R3" s="31"/>
      <c r="S3" s="34"/>
      <c r="T3" s="31"/>
      <c r="U3" s="31"/>
      <c r="V3" s="31"/>
      <c r="W3" s="31"/>
      <c r="X3" s="31"/>
      <c r="Y3" s="31"/>
      <c r="Z3" s="34" t="s">
        <v>114</v>
      </c>
      <c r="AA3" s="34" t="s">
        <v>7</v>
      </c>
    </row>
    <row r="4" spans="1:31" ht="101.25" customHeight="1" x14ac:dyDescent="0.3">
      <c r="A4" s="102" t="s">
        <v>1</v>
      </c>
      <c r="B4" s="102" t="s">
        <v>2</v>
      </c>
      <c r="C4" s="102" t="s">
        <v>0</v>
      </c>
      <c r="D4" s="102" t="s">
        <v>97</v>
      </c>
      <c r="E4" s="102" t="s">
        <v>56</v>
      </c>
      <c r="F4" s="102" t="s">
        <v>9</v>
      </c>
      <c r="G4" s="102" t="s">
        <v>5</v>
      </c>
      <c r="H4" s="102" t="s">
        <v>67</v>
      </c>
      <c r="I4" s="103" t="s">
        <v>18</v>
      </c>
      <c r="J4" s="103" t="s">
        <v>31</v>
      </c>
      <c r="K4" s="103" t="s">
        <v>165</v>
      </c>
      <c r="L4" s="102" t="s">
        <v>32</v>
      </c>
      <c r="M4" s="102" t="s">
        <v>68</v>
      </c>
      <c r="N4" s="103" t="s">
        <v>141</v>
      </c>
      <c r="O4" s="103" t="s">
        <v>33</v>
      </c>
      <c r="P4" s="103" t="s">
        <v>27</v>
      </c>
      <c r="Q4" s="103" t="s">
        <v>8</v>
      </c>
      <c r="R4" s="103" t="s">
        <v>6</v>
      </c>
      <c r="S4" s="104" t="s">
        <v>69</v>
      </c>
      <c r="T4" s="104" t="s">
        <v>88</v>
      </c>
      <c r="U4" s="104" t="s">
        <v>70</v>
      </c>
      <c r="V4" s="102" t="s">
        <v>25</v>
      </c>
      <c r="W4" s="102" t="s">
        <v>10</v>
      </c>
      <c r="X4" s="103" t="s">
        <v>22</v>
      </c>
      <c r="Y4" s="103" t="s">
        <v>24</v>
      </c>
      <c r="Z4" s="102" t="s">
        <v>26</v>
      </c>
      <c r="AA4" s="102" t="s">
        <v>7</v>
      </c>
      <c r="AB4" s="102" t="s">
        <v>55</v>
      </c>
      <c r="AC4" s="102" t="s">
        <v>142</v>
      </c>
      <c r="AD4" s="103" t="s">
        <v>28</v>
      </c>
      <c r="AE4" s="103" t="s">
        <v>143</v>
      </c>
    </row>
    <row r="5" spans="1:31" x14ac:dyDescent="0.3">
      <c r="A5" s="58" t="s">
        <v>92</v>
      </c>
      <c r="B5" s="21"/>
      <c r="C5" s="21"/>
      <c r="D5" s="21"/>
      <c r="E5" s="21"/>
      <c r="F5" s="21"/>
      <c r="G5" s="21"/>
      <c r="H5" s="21"/>
      <c r="I5" s="21"/>
      <c r="J5" s="57">
        <f>J6+J69</f>
        <v>29000000</v>
      </c>
      <c r="K5" s="21"/>
      <c r="L5" s="57">
        <f>L6+L69</f>
        <v>13250000</v>
      </c>
      <c r="M5" s="57">
        <f>M6+M69</f>
        <v>1000000</v>
      </c>
      <c r="N5" s="81"/>
      <c r="O5" s="21"/>
      <c r="P5" s="95"/>
      <c r="Q5" s="21"/>
      <c r="R5" s="57">
        <f>R6+R69</f>
        <v>15750000</v>
      </c>
      <c r="S5" s="95"/>
      <c r="T5" s="21"/>
      <c r="U5" s="21"/>
      <c r="V5" s="21"/>
      <c r="W5" s="21"/>
      <c r="X5" s="21"/>
      <c r="Y5" s="21"/>
      <c r="Z5" s="57">
        <f>Z6+Z69</f>
        <v>9350000</v>
      </c>
      <c r="AA5" s="57">
        <f>AA6+AA69</f>
        <v>8060000</v>
      </c>
      <c r="AB5" s="57">
        <f>AB6+AB69</f>
        <v>1500000</v>
      </c>
      <c r="AC5" s="57">
        <f>AC6+AC69</f>
        <v>5240000</v>
      </c>
      <c r="AD5" s="21"/>
      <c r="AE5" s="21"/>
    </row>
    <row r="6" spans="1:31" x14ac:dyDescent="0.3">
      <c r="A6" s="59" t="s">
        <v>47</v>
      </c>
      <c r="B6" s="60"/>
      <c r="C6" s="60"/>
      <c r="D6" s="60"/>
      <c r="E6" s="60"/>
      <c r="F6" s="60"/>
      <c r="G6" s="60"/>
      <c r="H6" s="60"/>
      <c r="I6" s="60"/>
      <c r="J6" s="61">
        <f>J7</f>
        <v>14000000</v>
      </c>
      <c r="K6" s="62"/>
      <c r="L6" s="63">
        <f>L7</f>
        <v>7750000</v>
      </c>
      <c r="M6" s="63">
        <f>M7</f>
        <v>1000000</v>
      </c>
      <c r="N6" s="82"/>
      <c r="O6" s="60"/>
      <c r="P6" s="96"/>
      <c r="Q6" s="64"/>
      <c r="R6" s="63">
        <f>R7</f>
        <v>6250000</v>
      </c>
      <c r="S6" s="96"/>
      <c r="T6" s="60"/>
      <c r="U6" s="60"/>
      <c r="V6" s="60"/>
      <c r="W6" s="60"/>
      <c r="X6" s="60"/>
      <c r="Y6" s="60"/>
      <c r="Z6" s="63">
        <f>Z7</f>
        <v>5450000</v>
      </c>
      <c r="AA6" s="63">
        <f>AA7</f>
        <v>3980000</v>
      </c>
      <c r="AB6" s="63">
        <f>AB7</f>
        <v>500000</v>
      </c>
      <c r="AC6" s="63">
        <f>AC7</f>
        <v>1160000</v>
      </c>
      <c r="AD6" s="60"/>
      <c r="AE6" s="60"/>
    </row>
    <row r="7" spans="1:31" x14ac:dyDescent="0.3">
      <c r="A7" s="76" t="str">
        <f>A6</f>
        <v>Строительство</v>
      </c>
      <c r="B7" s="1"/>
      <c r="C7" s="4" t="s">
        <v>35</v>
      </c>
      <c r="D7" s="4"/>
      <c r="E7" s="4"/>
      <c r="F7" s="4"/>
      <c r="G7" s="1"/>
      <c r="H7" s="1"/>
      <c r="I7" s="1"/>
      <c r="J7" s="27">
        <f>J8+J22+J40</f>
        <v>14000000</v>
      </c>
      <c r="K7" s="26"/>
      <c r="L7" s="27">
        <f>L8+L22+L40</f>
        <v>7750000</v>
      </c>
      <c r="M7" s="27">
        <f>M8+M22+M40</f>
        <v>1000000</v>
      </c>
      <c r="N7" s="83"/>
      <c r="O7" s="1"/>
      <c r="P7" s="2"/>
      <c r="Q7" s="12"/>
      <c r="R7" s="27">
        <f>R8+R22+R40</f>
        <v>6250000</v>
      </c>
      <c r="S7" s="2"/>
      <c r="T7" s="1"/>
      <c r="U7" s="1"/>
      <c r="V7" s="1"/>
      <c r="W7" s="1"/>
      <c r="X7" s="1"/>
      <c r="Y7" s="1"/>
      <c r="Z7" s="27">
        <f>Z8+Z22+Z40</f>
        <v>5450000</v>
      </c>
      <c r="AA7" s="27">
        <f>AA8+AA22+AA40</f>
        <v>3980000</v>
      </c>
      <c r="AB7" s="27">
        <f>AB8+AB22+AB40</f>
        <v>500000</v>
      </c>
      <c r="AC7" s="27">
        <f>AC8+AC22+AC40</f>
        <v>1160000</v>
      </c>
      <c r="AD7" s="1"/>
      <c r="AE7" s="1"/>
    </row>
    <row r="8" spans="1:31" outlineLevel="1" x14ac:dyDescent="0.3">
      <c r="A8" s="76" t="str">
        <f t="shared" ref="A8:B68" si="0">A7</f>
        <v>Строительство</v>
      </c>
      <c r="B8" s="1" t="s">
        <v>4</v>
      </c>
      <c r="C8" s="76" t="s">
        <v>35</v>
      </c>
      <c r="D8" s="4" t="s">
        <v>36</v>
      </c>
      <c r="E8" s="10"/>
      <c r="F8" s="10"/>
      <c r="G8" s="5">
        <v>42756</v>
      </c>
      <c r="H8" s="5"/>
      <c r="I8" s="5" t="s">
        <v>19</v>
      </c>
      <c r="J8" s="6">
        <v>5000000</v>
      </c>
      <c r="K8" s="9"/>
      <c r="L8" s="20">
        <f>L9+L13+L17+L21</f>
        <v>2200000</v>
      </c>
      <c r="M8" s="20">
        <f>M9+M13+M17+M21</f>
        <v>0</v>
      </c>
      <c r="N8" s="84"/>
      <c r="O8" s="17">
        <v>0.2</v>
      </c>
      <c r="P8" s="36"/>
      <c r="Q8" s="13"/>
      <c r="R8" s="6">
        <f>J8-L8</f>
        <v>2800000</v>
      </c>
      <c r="S8" s="5"/>
      <c r="T8" s="6"/>
      <c r="U8" s="6"/>
      <c r="V8" s="6"/>
      <c r="W8" s="1"/>
      <c r="X8" s="1"/>
      <c r="Y8" s="1"/>
      <c r="Z8" s="20">
        <f>Z11+Z12</f>
        <v>500000</v>
      </c>
      <c r="AA8" s="6">
        <f>AA10+AA14+AA18</f>
        <v>1700000</v>
      </c>
      <c r="AB8" s="6">
        <f>AB10+AB14+AB18</f>
        <v>0</v>
      </c>
      <c r="AC8" s="6">
        <f>AC10+AC14+AC18</f>
        <v>700000</v>
      </c>
      <c r="AD8" s="6" t="s">
        <v>45</v>
      </c>
      <c r="AE8" s="6"/>
    </row>
    <row r="9" spans="1:31" outlineLevel="1" x14ac:dyDescent="0.3">
      <c r="A9" s="76" t="str">
        <f t="shared" si="0"/>
        <v>Строительство</v>
      </c>
      <c r="B9" s="76" t="str">
        <f t="shared" si="0"/>
        <v>исп.</v>
      </c>
      <c r="C9" s="76" t="s">
        <v>35</v>
      </c>
      <c r="D9" s="76" t="s">
        <v>36</v>
      </c>
      <c r="E9" s="11" t="s">
        <v>11</v>
      </c>
      <c r="F9" s="11"/>
      <c r="G9" s="18">
        <v>42756</v>
      </c>
      <c r="H9" s="18"/>
      <c r="I9" s="15" t="s">
        <v>19</v>
      </c>
      <c r="J9" s="9">
        <v>1000000</v>
      </c>
      <c r="K9" s="9"/>
      <c r="L9" s="9">
        <f>L10</f>
        <v>500000</v>
      </c>
      <c r="M9" s="9">
        <f>M10</f>
        <v>0</v>
      </c>
      <c r="N9" s="84"/>
      <c r="O9" s="17"/>
      <c r="P9" s="18">
        <v>42766</v>
      </c>
      <c r="Q9" s="16">
        <f>IF(R9&gt;0,$D$3-P9,0)</f>
        <v>73</v>
      </c>
      <c r="R9" s="3">
        <f>J9-L9</f>
        <v>500000</v>
      </c>
      <c r="S9" s="18"/>
      <c r="T9" s="18"/>
      <c r="U9" s="3"/>
      <c r="V9" s="19"/>
      <c r="W9" s="1"/>
      <c r="X9" s="1"/>
      <c r="Y9" s="1"/>
      <c r="Z9" s="9"/>
      <c r="AA9" s="3"/>
      <c r="AB9" s="3"/>
      <c r="AC9" s="6"/>
      <c r="AD9" s="3"/>
      <c r="AE9" s="3"/>
    </row>
    <row r="10" spans="1:31" outlineLevel="1" x14ac:dyDescent="0.3">
      <c r="A10" s="76" t="str">
        <f t="shared" si="0"/>
        <v>Строительство</v>
      </c>
      <c r="B10" s="76" t="str">
        <f t="shared" si="0"/>
        <v>исп.</v>
      </c>
      <c r="C10" s="76" t="s">
        <v>35</v>
      </c>
      <c r="D10" s="76" t="s">
        <v>36</v>
      </c>
      <c r="E10" s="92" t="str">
        <f>E9</f>
        <v>ТКП №1</v>
      </c>
      <c r="F10" s="7" t="s">
        <v>37</v>
      </c>
      <c r="G10" s="8">
        <v>42766</v>
      </c>
      <c r="H10" s="8">
        <v>42770</v>
      </c>
      <c r="I10" s="23" t="s">
        <v>19</v>
      </c>
      <c r="J10" s="23"/>
      <c r="K10" s="24"/>
      <c r="L10" s="24">
        <v>500000</v>
      </c>
      <c r="M10" s="24"/>
      <c r="N10" s="85">
        <v>1</v>
      </c>
      <c r="O10" s="41">
        <v>0.2</v>
      </c>
      <c r="P10" s="8">
        <f>P9</f>
        <v>42766</v>
      </c>
      <c r="Q10" s="42">
        <f>G10-P10</f>
        <v>0</v>
      </c>
      <c r="R10" s="24"/>
      <c r="S10" s="8"/>
      <c r="T10" s="8"/>
      <c r="U10" s="24"/>
      <c r="V10" s="43"/>
      <c r="W10" s="7"/>
      <c r="X10" s="7"/>
      <c r="Y10" s="7"/>
      <c r="Z10" s="24">
        <f>Z11+Z12</f>
        <v>500000</v>
      </c>
      <c r="AA10" s="24">
        <f>AA11+AA12</f>
        <v>0</v>
      </c>
      <c r="AB10" s="24">
        <f>AB11+AB12</f>
        <v>0</v>
      </c>
      <c r="AC10" s="24">
        <f>AC11+AC12</f>
        <v>0</v>
      </c>
      <c r="AD10" s="44"/>
      <c r="AE10" s="44"/>
    </row>
    <row r="11" spans="1:31" outlineLevel="1" x14ac:dyDescent="0.3">
      <c r="A11" s="76" t="str">
        <f t="shared" si="0"/>
        <v>Строительство</v>
      </c>
      <c r="B11" s="76" t="str">
        <f t="shared" si="0"/>
        <v>исп.</v>
      </c>
      <c r="C11" s="76" t="s">
        <v>35</v>
      </c>
      <c r="D11" s="76" t="s">
        <v>36</v>
      </c>
      <c r="E11" s="92" t="str">
        <f t="shared" ref="E11:E12" si="1">E10</f>
        <v>ТКП №1</v>
      </c>
      <c r="F11" s="92" t="str">
        <f>F10</f>
        <v>АКТ №1</v>
      </c>
      <c r="G11" s="93">
        <f>G10</f>
        <v>42766</v>
      </c>
      <c r="H11" s="18"/>
      <c r="I11" s="15"/>
      <c r="J11" s="15"/>
      <c r="K11" s="9"/>
      <c r="L11" s="9"/>
      <c r="M11" s="9"/>
      <c r="N11" s="84"/>
      <c r="O11" s="17"/>
      <c r="P11" s="18"/>
      <c r="Q11" s="12"/>
      <c r="R11" s="3"/>
      <c r="S11" s="18">
        <f>IF(H10&gt;0,H10+11,G10+11)</f>
        <v>42781</v>
      </c>
      <c r="T11" s="18" t="s">
        <v>29</v>
      </c>
      <c r="U11" s="3">
        <f>0.4*L10</f>
        <v>200000</v>
      </c>
      <c r="V11" s="19">
        <f>IF(Y11&gt;0,Y11-S11,$D$3-S11)</f>
        <v>-5</v>
      </c>
      <c r="W11" s="11" t="s">
        <v>20</v>
      </c>
      <c r="X11" s="11" t="s">
        <v>152</v>
      </c>
      <c r="Y11" s="18">
        <v>42776</v>
      </c>
      <c r="Z11" s="9">
        <v>200000</v>
      </c>
      <c r="AA11" s="3">
        <f>IF(Y11&gt;0,0,Z11)</f>
        <v>0</v>
      </c>
      <c r="AB11" s="3">
        <f t="shared" ref="AB11:AB38" si="2">IF(AND(T11="аванс",AA11&gt;0),AA11,0)</f>
        <v>0</v>
      </c>
      <c r="AC11" s="6">
        <f>IF(AND($W11&gt;0,$AA11&gt;0,OR($S11=D$3,$S11&lt;D$3)),$AA11,0)</f>
        <v>0</v>
      </c>
      <c r="AD11" s="3"/>
      <c r="AE11" s="3"/>
    </row>
    <row r="12" spans="1:31" outlineLevel="1" x14ac:dyDescent="0.3">
      <c r="A12" s="76" t="str">
        <f t="shared" si="0"/>
        <v>Строительство</v>
      </c>
      <c r="B12" s="76" t="str">
        <f t="shared" si="0"/>
        <v>исп.</v>
      </c>
      <c r="C12" s="76" t="s">
        <v>35</v>
      </c>
      <c r="D12" s="76" t="s">
        <v>36</v>
      </c>
      <c r="E12" s="92" t="str">
        <f t="shared" si="1"/>
        <v>ТКП №1</v>
      </c>
      <c r="F12" s="92" t="str">
        <f>F11</f>
        <v>АКТ №1</v>
      </c>
      <c r="G12" s="93">
        <f>G11</f>
        <v>42766</v>
      </c>
      <c r="H12" s="18"/>
      <c r="I12" s="15"/>
      <c r="J12" s="15"/>
      <c r="K12" s="9"/>
      <c r="L12" s="9"/>
      <c r="M12" s="9"/>
      <c r="N12" s="84"/>
      <c r="O12" s="17"/>
      <c r="P12" s="18"/>
      <c r="Q12" s="12"/>
      <c r="R12" s="3"/>
      <c r="S12" s="18">
        <f>IF(H10&gt;0,H10+31,G10+31)</f>
        <v>42801</v>
      </c>
      <c r="T12" s="18" t="s">
        <v>30</v>
      </c>
      <c r="U12" s="3">
        <f>0.6*L10</f>
        <v>300000</v>
      </c>
      <c r="V12" s="19">
        <f>IF(Y12&gt;0,Y12-S12,$D$3-S12)</f>
        <v>-25</v>
      </c>
      <c r="W12" s="11" t="s">
        <v>20</v>
      </c>
      <c r="X12" s="11" t="s">
        <v>152</v>
      </c>
      <c r="Y12" s="18">
        <v>42776</v>
      </c>
      <c r="Z12" s="9">
        <v>300000</v>
      </c>
      <c r="AA12" s="3">
        <f>IF(Y12&gt;0,0,Z12)</f>
        <v>0</v>
      </c>
      <c r="AB12" s="3">
        <f t="shared" si="2"/>
        <v>0</v>
      </c>
      <c r="AC12" s="6">
        <f>IF(AND($W12&gt;0,$AA12&gt;0,OR($S12=D$3,$S12&lt;D$3)),$AA12,0)</f>
        <v>0</v>
      </c>
      <c r="AD12" s="3"/>
      <c r="AE12" s="3"/>
    </row>
    <row r="13" spans="1:31" outlineLevel="1" x14ac:dyDescent="0.3">
      <c r="A13" s="76" t="str">
        <f t="shared" si="0"/>
        <v>Строительство</v>
      </c>
      <c r="B13" s="76" t="str">
        <f t="shared" si="0"/>
        <v>исп.</v>
      </c>
      <c r="C13" s="76" t="s">
        <v>35</v>
      </c>
      <c r="D13" s="76" t="s">
        <v>36</v>
      </c>
      <c r="E13" s="11" t="s">
        <v>12</v>
      </c>
      <c r="F13" s="11"/>
      <c r="G13" s="18">
        <v>42756</v>
      </c>
      <c r="H13" s="18"/>
      <c r="I13" s="15" t="s">
        <v>19</v>
      </c>
      <c r="J13" s="9">
        <v>1000000</v>
      </c>
      <c r="K13" s="9"/>
      <c r="L13" s="9">
        <f>L14</f>
        <v>700000</v>
      </c>
      <c r="M13" s="9">
        <f>M14</f>
        <v>0</v>
      </c>
      <c r="N13" s="84"/>
      <c r="O13" s="17"/>
      <c r="P13" s="18">
        <v>42794</v>
      </c>
      <c r="Q13" s="12">
        <f>IF(R13&gt;0,$D$3-P13,0)</f>
        <v>45</v>
      </c>
      <c r="R13" s="3">
        <f>J13-L13</f>
        <v>300000</v>
      </c>
      <c r="S13" s="18"/>
      <c r="T13" s="18"/>
      <c r="U13" s="3"/>
      <c r="V13" s="19"/>
      <c r="W13" s="11"/>
      <c r="X13" s="11"/>
      <c r="Y13" s="11"/>
      <c r="Z13" s="9"/>
      <c r="AA13" s="3"/>
      <c r="AB13" s="3"/>
      <c r="AC13" s="6"/>
      <c r="AD13" s="3"/>
      <c r="AE13" s="3"/>
    </row>
    <row r="14" spans="1:31" outlineLevel="1" x14ac:dyDescent="0.3">
      <c r="A14" s="76" t="str">
        <f t="shared" si="0"/>
        <v>Строительство</v>
      </c>
      <c r="B14" s="76" t="str">
        <f t="shared" si="0"/>
        <v>исп.</v>
      </c>
      <c r="C14" s="76" t="s">
        <v>35</v>
      </c>
      <c r="D14" s="76" t="s">
        <v>36</v>
      </c>
      <c r="E14" s="92" t="str">
        <f t="shared" ref="E14:E16" si="3">E13</f>
        <v>ТКП №2</v>
      </c>
      <c r="F14" s="7" t="s">
        <v>38</v>
      </c>
      <c r="G14" s="8">
        <v>42794</v>
      </c>
      <c r="H14" s="8">
        <v>42796</v>
      </c>
      <c r="I14" s="23" t="s">
        <v>19</v>
      </c>
      <c r="J14" s="23"/>
      <c r="K14" s="24"/>
      <c r="L14" s="24">
        <v>700000</v>
      </c>
      <c r="M14" s="24"/>
      <c r="N14" s="85">
        <v>1</v>
      </c>
      <c r="O14" s="41">
        <v>0.2</v>
      </c>
      <c r="P14" s="8">
        <v>42794</v>
      </c>
      <c r="Q14" s="42">
        <f>G14-P14</f>
        <v>0</v>
      </c>
      <c r="R14" s="7"/>
      <c r="S14" s="8"/>
      <c r="T14" s="8"/>
      <c r="U14" s="7"/>
      <c r="V14" s="43"/>
      <c r="W14" s="7"/>
      <c r="X14" s="7"/>
      <c r="Y14" s="7"/>
      <c r="Z14" s="24">
        <v>0</v>
      </c>
      <c r="AA14" s="44">
        <f>AA15+AA16</f>
        <v>700000</v>
      </c>
      <c r="AB14" s="24">
        <f t="shared" ref="AB14:AC14" si="4">AB15+AB16</f>
        <v>0</v>
      </c>
      <c r="AC14" s="24">
        <f t="shared" si="4"/>
        <v>700000</v>
      </c>
      <c r="AD14" s="44"/>
      <c r="AE14" s="44"/>
    </row>
    <row r="15" spans="1:31" outlineLevel="1" x14ac:dyDescent="0.3">
      <c r="A15" s="76" t="str">
        <f t="shared" si="0"/>
        <v>Строительство</v>
      </c>
      <c r="B15" s="76" t="str">
        <f t="shared" si="0"/>
        <v>исп.</v>
      </c>
      <c r="C15" s="76" t="s">
        <v>35</v>
      </c>
      <c r="D15" s="76" t="s">
        <v>36</v>
      </c>
      <c r="E15" s="92" t="str">
        <f t="shared" si="3"/>
        <v>ТКП №2</v>
      </c>
      <c r="F15" s="92" t="str">
        <f>F14</f>
        <v>АКТ №2</v>
      </c>
      <c r="G15" s="93">
        <f>G14</f>
        <v>42794</v>
      </c>
      <c r="H15" s="18"/>
      <c r="I15" s="15"/>
      <c r="J15" s="15"/>
      <c r="K15" s="9"/>
      <c r="L15" s="9"/>
      <c r="M15" s="9"/>
      <c r="N15" s="84"/>
      <c r="O15" s="17"/>
      <c r="P15" s="18"/>
      <c r="Q15" s="12"/>
      <c r="R15" s="1"/>
      <c r="S15" s="18">
        <f>IF(H14&gt;0,H14+11,G14+11)</f>
        <v>42807</v>
      </c>
      <c r="T15" s="18" t="s">
        <v>29</v>
      </c>
      <c r="U15" s="3">
        <f>0.4*L14</f>
        <v>280000</v>
      </c>
      <c r="V15" s="19">
        <f>IF(Y15&gt;0,Y15-S15,$D$3-S15)</f>
        <v>32</v>
      </c>
      <c r="W15" s="11" t="s">
        <v>44</v>
      </c>
      <c r="X15" s="11"/>
      <c r="Y15" s="11"/>
      <c r="Z15" s="9">
        <f>U15</f>
        <v>280000</v>
      </c>
      <c r="AA15" s="3">
        <f>IF(Y15&gt;0,0,Z15)</f>
        <v>280000</v>
      </c>
      <c r="AB15" s="3">
        <f t="shared" si="2"/>
        <v>0</v>
      </c>
      <c r="AC15" s="6">
        <f>IF(AND($W15&gt;0,$AA15&gt;0,OR($S15=D$3,$S15&lt;D$3)),$AA15,0)</f>
        <v>280000</v>
      </c>
      <c r="AD15" s="3"/>
      <c r="AE15" s="3"/>
    </row>
    <row r="16" spans="1:31" outlineLevel="1" x14ac:dyDescent="0.3">
      <c r="A16" s="76" t="str">
        <f t="shared" si="0"/>
        <v>Строительство</v>
      </c>
      <c r="B16" s="76" t="str">
        <f t="shared" si="0"/>
        <v>исп.</v>
      </c>
      <c r="C16" s="76" t="s">
        <v>35</v>
      </c>
      <c r="D16" s="76" t="s">
        <v>36</v>
      </c>
      <c r="E16" s="92" t="str">
        <f t="shared" si="3"/>
        <v>ТКП №2</v>
      </c>
      <c r="F16" s="92" t="str">
        <f>F15</f>
        <v>АКТ №2</v>
      </c>
      <c r="G16" s="93">
        <f>G15</f>
        <v>42794</v>
      </c>
      <c r="H16" s="18"/>
      <c r="I16" s="15"/>
      <c r="J16" s="15"/>
      <c r="K16" s="9"/>
      <c r="L16" s="9"/>
      <c r="M16" s="9"/>
      <c r="N16" s="84"/>
      <c r="O16" s="17"/>
      <c r="P16" s="18"/>
      <c r="Q16" s="12"/>
      <c r="R16" s="1"/>
      <c r="S16" s="18">
        <f>IF(H14&gt;0,H14+31,G14+31)</f>
        <v>42827</v>
      </c>
      <c r="T16" s="18" t="s">
        <v>30</v>
      </c>
      <c r="U16" s="3">
        <f>0.6*L14</f>
        <v>420000</v>
      </c>
      <c r="V16" s="19">
        <f>IF(Y16&gt;0,Y16-S16,$D$3-S16)</f>
        <v>12</v>
      </c>
      <c r="W16" s="11" t="s">
        <v>44</v>
      </c>
      <c r="X16" s="11"/>
      <c r="Y16" s="11"/>
      <c r="Z16" s="9">
        <f>U16</f>
        <v>420000</v>
      </c>
      <c r="AA16" s="3">
        <f>IF(Y16&gt;0,0,Z16)</f>
        <v>420000</v>
      </c>
      <c r="AB16" s="3">
        <f t="shared" si="2"/>
        <v>0</v>
      </c>
      <c r="AC16" s="6">
        <f>IF(AND($W16&gt;0,$AA16&gt;0,OR($S16=D$3,$S16&lt;D$3)),$AA16,0)</f>
        <v>420000</v>
      </c>
      <c r="AD16" s="3"/>
      <c r="AE16" s="3"/>
    </row>
    <row r="17" spans="1:31" outlineLevel="1" x14ac:dyDescent="0.3">
      <c r="A17" s="76" t="str">
        <f t="shared" si="0"/>
        <v>Строительство</v>
      </c>
      <c r="B17" s="76" t="str">
        <f t="shared" si="0"/>
        <v>исп.</v>
      </c>
      <c r="C17" s="76" t="s">
        <v>35</v>
      </c>
      <c r="D17" s="76" t="s">
        <v>36</v>
      </c>
      <c r="E17" s="11" t="s">
        <v>13</v>
      </c>
      <c r="F17" s="11"/>
      <c r="G17" s="18">
        <v>42756</v>
      </c>
      <c r="H17" s="18"/>
      <c r="I17" s="15" t="s">
        <v>19</v>
      </c>
      <c r="J17" s="9">
        <v>1000000</v>
      </c>
      <c r="K17" s="9"/>
      <c r="L17" s="9">
        <f>L18</f>
        <v>1000000</v>
      </c>
      <c r="M17" s="9">
        <f>M18</f>
        <v>0</v>
      </c>
      <c r="N17" s="84"/>
      <c r="O17" s="17"/>
      <c r="P17" s="18">
        <v>42825</v>
      </c>
      <c r="Q17" s="12">
        <f>IF(R17&gt;0,$D$3-P17,0)</f>
        <v>0</v>
      </c>
      <c r="R17" s="3">
        <f>J17-L17</f>
        <v>0</v>
      </c>
      <c r="S17" s="18"/>
      <c r="T17" s="18"/>
      <c r="U17" s="3"/>
      <c r="V17" s="19"/>
      <c r="W17" s="11"/>
      <c r="X17" s="11"/>
      <c r="Y17" s="11"/>
      <c r="Z17" s="9"/>
      <c r="AA17" s="3"/>
      <c r="AB17" s="3"/>
      <c r="AC17" s="6"/>
      <c r="AD17" s="3"/>
      <c r="AE17" s="3"/>
    </row>
    <row r="18" spans="1:31" outlineLevel="1" x14ac:dyDescent="0.3">
      <c r="A18" s="76" t="str">
        <f t="shared" si="0"/>
        <v>Строительство</v>
      </c>
      <c r="B18" s="76" t="str">
        <f t="shared" si="0"/>
        <v>исп.</v>
      </c>
      <c r="C18" s="76" t="s">
        <v>35</v>
      </c>
      <c r="D18" s="76" t="s">
        <v>36</v>
      </c>
      <c r="E18" s="92" t="str">
        <f t="shared" ref="E18:E20" si="5">E17</f>
        <v>ТКП №3</v>
      </c>
      <c r="F18" s="7" t="s">
        <v>39</v>
      </c>
      <c r="G18" s="8">
        <v>42825</v>
      </c>
      <c r="H18" s="8">
        <v>42829</v>
      </c>
      <c r="I18" s="23" t="s">
        <v>19</v>
      </c>
      <c r="J18" s="23"/>
      <c r="K18" s="24"/>
      <c r="L18" s="24">
        <v>1000000</v>
      </c>
      <c r="M18" s="24"/>
      <c r="N18" s="85">
        <v>1</v>
      </c>
      <c r="O18" s="41">
        <v>0.2</v>
      </c>
      <c r="P18" s="8"/>
      <c r="Q18" s="42"/>
      <c r="R18" s="24"/>
      <c r="S18" s="8"/>
      <c r="T18" s="8"/>
      <c r="U18" s="24"/>
      <c r="V18" s="43"/>
      <c r="W18" s="7"/>
      <c r="X18" s="7"/>
      <c r="Y18" s="7"/>
      <c r="Z18" s="24">
        <v>0</v>
      </c>
      <c r="AA18" s="44">
        <f>AA19+AA20</f>
        <v>1000000</v>
      </c>
      <c r="AB18" s="24">
        <f t="shared" ref="AB18:AC18" si="6">AB19+AB20</f>
        <v>0</v>
      </c>
      <c r="AC18" s="24">
        <f t="shared" si="6"/>
        <v>0</v>
      </c>
      <c r="AD18" s="24"/>
      <c r="AE18" s="24"/>
    </row>
    <row r="19" spans="1:31" outlineLevel="1" x14ac:dyDescent="0.3">
      <c r="A19" s="76" t="str">
        <f t="shared" si="0"/>
        <v>Строительство</v>
      </c>
      <c r="B19" s="76" t="str">
        <f t="shared" si="0"/>
        <v>исп.</v>
      </c>
      <c r="C19" s="76" t="s">
        <v>35</v>
      </c>
      <c r="D19" s="76" t="s">
        <v>36</v>
      </c>
      <c r="E19" s="92" t="str">
        <f t="shared" si="5"/>
        <v>ТКП №3</v>
      </c>
      <c r="F19" s="92" t="str">
        <f>F18</f>
        <v>АКТ №3</v>
      </c>
      <c r="G19" s="93">
        <f>G18</f>
        <v>42825</v>
      </c>
      <c r="H19" s="18"/>
      <c r="I19" s="15"/>
      <c r="J19" s="9"/>
      <c r="K19" s="9"/>
      <c r="L19" s="9"/>
      <c r="M19" s="9"/>
      <c r="N19" s="84"/>
      <c r="O19" s="17"/>
      <c r="P19" s="18"/>
      <c r="Q19" s="12"/>
      <c r="R19" s="3"/>
      <c r="S19" s="18">
        <f>IF(H18&gt;0,H18+11,G18+11)</f>
        <v>42840</v>
      </c>
      <c r="T19" s="18" t="s">
        <v>29</v>
      </c>
      <c r="U19" s="3">
        <f>0.4*L18</f>
        <v>400000</v>
      </c>
      <c r="V19" s="19">
        <f>IF(Y19&gt;0,Y19-S19,$D$3-S19)</f>
        <v>-1</v>
      </c>
      <c r="W19" s="11" t="s">
        <v>44</v>
      </c>
      <c r="X19" s="11"/>
      <c r="Y19" s="11"/>
      <c r="Z19" s="9">
        <f>U19</f>
        <v>400000</v>
      </c>
      <c r="AA19" s="3">
        <f>IF(Y19&gt;0,0,Z19)</f>
        <v>400000</v>
      </c>
      <c r="AB19" s="3">
        <f t="shared" si="2"/>
        <v>0</v>
      </c>
      <c r="AC19" s="6">
        <f>IF(AND($W19&gt;0,$AA19&gt;0,OR($S19=D$3,$S19&lt;D$3)),$AA19,0)</f>
        <v>0</v>
      </c>
      <c r="AD19" s="3"/>
      <c r="AE19" s="3"/>
    </row>
    <row r="20" spans="1:31" outlineLevel="1" x14ac:dyDescent="0.3">
      <c r="A20" s="76" t="str">
        <f t="shared" si="0"/>
        <v>Строительство</v>
      </c>
      <c r="B20" s="76" t="str">
        <f t="shared" si="0"/>
        <v>исп.</v>
      </c>
      <c r="C20" s="76" t="s">
        <v>35</v>
      </c>
      <c r="D20" s="76" t="s">
        <v>36</v>
      </c>
      <c r="E20" s="92" t="str">
        <f t="shared" si="5"/>
        <v>ТКП №3</v>
      </c>
      <c r="F20" s="92" t="str">
        <f>F19</f>
        <v>АКТ №3</v>
      </c>
      <c r="G20" s="93">
        <f>G19</f>
        <v>42825</v>
      </c>
      <c r="H20" s="18"/>
      <c r="I20" s="15"/>
      <c r="J20" s="9"/>
      <c r="K20" s="9"/>
      <c r="L20" s="9"/>
      <c r="M20" s="9"/>
      <c r="N20" s="84"/>
      <c r="O20" s="17"/>
      <c r="P20" s="18"/>
      <c r="Q20" s="12"/>
      <c r="R20" s="3"/>
      <c r="S20" s="18">
        <f>IF(H18&gt;0,H18+31,G18+31)</f>
        <v>42860</v>
      </c>
      <c r="T20" s="18" t="s">
        <v>30</v>
      </c>
      <c r="U20" s="3">
        <f>0.6*L18</f>
        <v>600000</v>
      </c>
      <c r="V20" s="19">
        <f>IF(Y20&gt;0,Y20-S20,$D$3-S20)</f>
        <v>-21</v>
      </c>
      <c r="W20" s="11" t="s">
        <v>44</v>
      </c>
      <c r="X20" s="11"/>
      <c r="Y20" s="11"/>
      <c r="Z20" s="9">
        <f>U20</f>
        <v>600000</v>
      </c>
      <c r="AA20" s="3">
        <f>IF(Y20&gt;0,0,Z20)</f>
        <v>600000</v>
      </c>
      <c r="AB20" s="3">
        <f t="shared" si="2"/>
        <v>0</v>
      </c>
      <c r="AC20" s="6">
        <f>IF(AND($W20&gt;0,$AA20&gt;0,OR($S20=D$3,$S20&lt;D$3)),$AA20,0)</f>
        <v>0</v>
      </c>
      <c r="AD20" s="3"/>
      <c r="AE20" s="3"/>
    </row>
    <row r="21" spans="1:31" outlineLevel="1" x14ac:dyDescent="0.3">
      <c r="A21" s="76" t="str">
        <f t="shared" si="0"/>
        <v>Строительство</v>
      </c>
      <c r="B21" s="76" t="str">
        <f t="shared" si="0"/>
        <v>исп.</v>
      </c>
      <c r="C21" s="76" t="s">
        <v>35</v>
      </c>
      <c r="D21" s="76" t="s">
        <v>36</v>
      </c>
      <c r="E21" s="11" t="s">
        <v>14</v>
      </c>
      <c r="F21" s="11"/>
      <c r="G21" s="18">
        <v>42756</v>
      </c>
      <c r="H21" s="18"/>
      <c r="I21" s="15" t="s">
        <v>19</v>
      </c>
      <c r="J21" s="9">
        <v>2000000</v>
      </c>
      <c r="K21" s="9"/>
      <c r="L21" s="9"/>
      <c r="M21" s="9"/>
      <c r="N21" s="84"/>
      <c r="O21" s="17"/>
      <c r="P21" s="18">
        <v>42855</v>
      </c>
      <c r="Q21" s="12">
        <f>IF(R21&gt;0,$D$3-P21,0)</f>
        <v>-16</v>
      </c>
      <c r="R21" s="3">
        <f>J21-L21</f>
        <v>2000000</v>
      </c>
      <c r="S21" s="18"/>
      <c r="T21" s="18"/>
      <c r="U21" s="3"/>
      <c r="V21" s="19"/>
      <c r="W21" s="11"/>
      <c r="X21" s="11"/>
      <c r="Y21" s="11"/>
      <c r="Z21" s="9"/>
      <c r="AA21" s="3"/>
      <c r="AB21" s="3"/>
      <c r="AC21" s="6"/>
      <c r="AD21" s="3"/>
      <c r="AE21" s="3"/>
    </row>
    <row r="22" spans="1:31" outlineLevel="1" x14ac:dyDescent="0.3">
      <c r="A22" s="76" t="str">
        <f t="shared" si="0"/>
        <v>Строительство</v>
      </c>
      <c r="B22" s="1" t="s">
        <v>4</v>
      </c>
      <c r="C22" s="76" t="s">
        <v>35</v>
      </c>
      <c r="D22" s="4" t="s">
        <v>106</v>
      </c>
      <c r="E22" s="10"/>
      <c r="F22" s="10"/>
      <c r="G22" s="5">
        <v>42756</v>
      </c>
      <c r="H22" s="5"/>
      <c r="I22" s="5" t="s">
        <v>19</v>
      </c>
      <c r="J22" s="6">
        <f>J23+J27+J31+J35</f>
        <v>4000000</v>
      </c>
      <c r="K22" s="9">
        <f>K23+K27+K31+K35</f>
        <v>2400000</v>
      </c>
      <c r="L22" s="20">
        <f>L23+L27+L31+L35</f>
        <v>3200000</v>
      </c>
      <c r="M22" s="20">
        <f>M23+M27+M31+M35</f>
        <v>0</v>
      </c>
      <c r="N22" s="84"/>
      <c r="O22" s="17">
        <v>0.2</v>
      </c>
      <c r="P22" s="36"/>
      <c r="Q22" s="13"/>
      <c r="R22" s="6">
        <f>J22-L22</f>
        <v>800000</v>
      </c>
      <c r="S22" s="5"/>
      <c r="T22" s="6"/>
      <c r="U22" s="6"/>
      <c r="V22" s="6"/>
      <c r="W22" s="1"/>
      <c r="X22" s="1"/>
      <c r="Y22" s="1"/>
      <c r="Z22" s="20">
        <f>Z25+Z29+Z30+Z33+Z34+Z37</f>
        <v>2450000</v>
      </c>
      <c r="AA22" s="6">
        <f>AA24+AA28+AA32+AA36</f>
        <v>730000</v>
      </c>
      <c r="AB22" s="6">
        <f t="shared" ref="AB22:AC22" si="7">AB24+AB28+AB32+AB36</f>
        <v>0</v>
      </c>
      <c r="AC22" s="6">
        <f t="shared" si="7"/>
        <v>0</v>
      </c>
      <c r="AD22" s="6" t="s">
        <v>46</v>
      </c>
      <c r="AE22" s="6"/>
    </row>
    <row r="23" spans="1:31" outlineLevel="1" x14ac:dyDescent="0.3">
      <c r="A23" s="76" t="str">
        <f t="shared" si="0"/>
        <v>Строительство</v>
      </c>
      <c r="B23" s="76" t="str">
        <f t="shared" si="0"/>
        <v>исп.</v>
      </c>
      <c r="C23" s="76" t="s">
        <v>35</v>
      </c>
      <c r="D23" s="76" t="s">
        <v>106</v>
      </c>
      <c r="E23" s="11" t="s">
        <v>11</v>
      </c>
      <c r="F23" s="11"/>
      <c r="G23" s="18">
        <v>42756</v>
      </c>
      <c r="H23" s="18"/>
      <c r="I23" s="15" t="s">
        <v>19</v>
      </c>
      <c r="J23" s="9">
        <v>1000000</v>
      </c>
      <c r="K23" s="9">
        <v>0</v>
      </c>
      <c r="L23" s="9">
        <f>L24</f>
        <v>500000</v>
      </c>
      <c r="M23" s="9">
        <f>M24</f>
        <v>0</v>
      </c>
      <c r="N23" s="84"/>
      <c r="O23" s="17"/>
      <c r="P23" s="18">
        <v>42766</v>
      </c>
      <c r="Q23" s="16">
        <f>IF(R23&gt;0,$D$3-P23,0)</f>
        <v>73</v>
      </c>
      <c r="R23" s="3">
        <f>J23-L23</f>
        <v>500000</v>
      </c>
      <c r="S23" s="18"/>
      <c r="T23" s="18"/>
      <c r="U23" s="3"/>
      <c r="V23" s="19"/>
      <c r="W23" s="1"/>
      <c r="X23" s="1"/>
      <c r="Y23" s="1"/>
      <c r="Z23" s="9"/>
      <c r="AA23" s="3"/>
      <c r="AB23" s="3"/>
      <c r="AC23" s="6"/>
      <c r="AD23" s="3"/>
      <c r="AE23" s="3"/>
    </row>
    <row r="24" spans="1:31" outlineLevel="1" x14ac:dyDescent="0.3">
      <c r="A24" s="76" t="str">
        <f t="shared" si="0"/>
        <v>Строительство</v>
      </c>
      <c r="B24" s="76" t="str">
        <f t="shared" si="0"/>
        <v>исп.</v>
      </c>
      <c r="C24" s="76" t="s">
        <v>35</v>
      </c>
      <c r="D24" s="76" t="s">
        <v>106</v>
      </c>
      <c r="E24" s="92" t="str">
        <f t="shared" ref="E24:E26" si="8">E23</f>
        <v>ТКП №1</v>
      </c>
      <c r="F24" s="7" t="s">
        <v>37</v>
      </c>
      <c r="G24" s="8">
        <v>42766</v>
      </c>
      <c r="H24" s="8">
        <v>42770</v>
      </c>
      <c r="I24" s="23" t="s">
        <v>19</v>
      </c>
      <c r="J24" s="23"/>
      <c r="K24" s="24"/>
      <c r="L24" s="24">
        <v>500000</v>
      </c>
      <c r="M24" s="24"/>
      <c r="N24" s="85">
        <v>1</v>
      </c>
      <c r="O24" s="41">
        <v>0.2</v>
      </c>
      <c r="P24" s="8">
        <f>P23</f>
        <v>42766</v>
      </c>
      <c r="Q24" s="42">
        <f>G24-P24</f>
        <v>0</v>
      </c>
      <c r="R24" s="24"/>
      <c r="S24" s="8"/>
      <c r="T24" s="8"/>
      <c r="U24" s="24"/>
      <c r="V24" s="43"/>
      <c r="W24" s="7"/>
      <c r="X24" s="7"/>
      <c r="Y24" s="7"/>
      <c r="Z24" s="24">
        <f>Z25</f>
        <v>500000</v>
      </c>
      <c r="AA24" s="24">
        <f>AA25+AA26</f>
        <v>0</v>
      </c>
      <c r="AB24" s="24">
        <f>AB25+AB26</f>
        <v>0</v>
      </c>
      <c r="AC24" s="24">
        <f>AC25+AC26</f>
        <v>0</v>
      </c>
      <c r="AD24" s="44"/>
      <c r="AE24" s="44"/>
    </row>
    <row r="25" spans="1:31" outlineLevel="1" x14ac:dyDescent="0.3">
      <c r="A25" s="76" t="str">
        <f t="shared" si="0"/>
        <v>Строительство</v>
      </c>
      <c r="B25" s="76" t="str">
        <f t="shared" si="0"/>
        <v>исп.</v>
      </c>
      <c r="C25" s="76" t="s">
        <v>35</v>
      </c>
      <c r="D25" s="76" t="s">
        <v>106</v>
      </c>
      <c r="E25" s="92" t="str">
        <f t="shared" si="8"/>
        <v>ТКП №1</v>
      </c>
      <c r="F25" s="92" t="str">
        <f>F24</f>
        <v>АКТ №1</v>
      </c>
      <c r="G25" s="93">
        <f>G24</f>
        <v>42766</v>
      </c>
      <c r="H25" s="18"/>
      <c r="I25" s="15"/>
      <c r="J25" s="15"/>
      <c r="K25" s="9"/>
      <c r="L25" s="9"/>
      <c r="M25" s="9"/>
      <c r="N25" s="84"/>
      <c r="O25" s="17"/>
      <c r="P25" s="18"/>
      <c r="Q25" s="12"/>
      <c r="R25" s="3"/>
      <c r="S25" s="18">
        <f>IF(H24&gt;0,H24+30,G24+30)</f>
        <v>42800</v>
      </c>
      <c r="T25" s="18"/>
      <c r="U25" s="3">
        <f>1*L24</f>
        <v>500000</v>
      </c>
      <c r="V25" s="19">
        <f>IF(Y25&gt;0,Y25-S25,$D$3-S25)</f>
        <v>-6</v>
      </c>
      <c r="W25" s="11" t="s">
        <v>20</v>
      </c>
      <c r="X25" s="11" t="s">
        <v>152</v>
      </c>
      <c r="Y25" s="18">
        <v>42794</v>
      </c>
      <c r="Z25" s="9">
        <v>500000</v>
      </c>
      <c r="AA25" s="3">
        <f>IF(Y25&gt;0,0,Z25)</f>
        <v>0</v>
      </c>
      <c r="AB25" s="3">
        <f t="shared" si="2"/>
        <v>0</v>
      </c>
      <c r="AC25" s="6">
        <f>IF(AND($W25&gt;0,$AA25&gt;0,OR($S25=D$3,$S25&lt;D$3)),$AA25,0)</f>
        <v>0</v>
      </c>
      <c r="AD25" s="3"/>
      <c r="AE25" s="3"/>
    </row>
    <row r="26" spans="1:31" outlineLevel="1" x14ac:dyDescent="0.3">
      <c r="A26" s="76" t="str">
        <f t="shared" si="0"/>
        <v>Строительство</v>
      </c>
      <c r="B26" s="76" t="str">
        <f t="shared" si="0"/>
        <v>исп.</v>
      </c>
      <c r="C26" s="76" t="s">
        <v>35</v>
      </c>
      <c r="D26" s="76" t="s">
        <v>106</v>
      </c>
      <c r="E26" s="92" t="str">
        <f t="shared" si="8"/>
        <v>ТКП №1</v>
      </c>
      <c r="F26" s="92" t="str">
        <f>F25</f>
        <v>АКТ №1</v>
      </c>
      <c r="G26" s="93">
        <f>G25</f>
        <v>42766</v>
      </c>
      <c r="H26" s="1"/>
      <c r="I26" s="15"/>
      <c r="J26" s="15"/>
      <c r="K26" s="9"/>
      <c r="L26" s="9"/>
      <c r="M26" s="9"/>
      <c r="N26" s="84"/>
      <c r="O26" s="9"/>
      <c r="P26" s="18"/>
      <c r="Q26" s="16"/>
      <c r="R26" s="11"/>
      <c r="S26" s="18"/>
      <c r="T26" s="18"/>
      <c r="U26" s="11"/>
      <c r="V26" s="19"/>
      <c r="W26" s="11"/>
      <c r="X26" s="11"/>
      <c r="Y26" s="18"/>
      <c r="Z26" s="9"/>
      <c r="AA26" s="3"/>
      <c r="AB26" s="3">
        <f t="shared" si="2"/>
        <v>0</v>
      </c>
      <c r="AC26" s="6">
        <f>IF(AND($W26&gt;0,$AA26&gt;0,OR($S26=D$3,$S26&lt;D$3)),$AA26,0)</f>
        <v>0</v>
      </c>
      <c r="AD26" s="3"/>
      <c r="AE26" s="3"/>
    </row>
    <row r="27" spans="1:31" outlineLevel="1" x14ac:dyDescent="0.3">
      <c r="A27" s="76" t="str">
        <f t="shared" si="0"/>
        <v>Строительство</v>
      </c>
      <c r="B27" s="76" t="str">
        <f t="shared" si="0"/>
        <v>исп.</v>
      </c>
      <c r="C27" s="76" t="s">
        <v>35</v>
      </c>
      <c r="D27" s="76" t="s">
        <v>106</v>
      </c>
      <c r="E27" s="11" t="s">
        <v>12</v>
      </c>
      <c r="F27" s="11"/>
      <c r="G27" s="18">
        <v>42756</v>
      </c>
      <c r="H27" s="18"/>
      <c r="I27" s="15" t="s">
        <v>19</v>
      </c>
      <c r="J27" s="9">
        <v>1000000</v>
      </c>
      <c r="K27" s="9">
        <v>800000</v>
      </c>
      <c r="L27" s="9">
        <f>L28</f>
        <v>700000</v>
      </c>
      <c r="M27" s="9">
        <f>M28</f>
        <v>0</v>
      </c>
      <c r="N27" s="84"/>
      <c r="O27" s="17"/>
      <c r="P27" s="18">
        <v>42794</v>
      </c>
      <c r="Q27" s="12">
        <f>IF(R27&gt;0,$D$3-P27,0)</f>
        <v>45</v>
      </c>
      <c r="R27" s="3">
        <f>J27-L27</f>
        <v>300000</v>
      </c>
      <c r="S27" s="18"/>
      <c r="T27" s="18"/>
      <c r="U27" s="3"/>
      <c r="V27" s="19"/>
      <c r="W27" s="11"/>
      <c r="X27" s="11"/>
      <c r="Y27" s="11"/>
      <c r="Z27" s="9"/>
      <c r="AA27" s="3"/>
      <c r="AB27" s="3"/>
      <c r="AC27" s="6"/>
      <c r="AD27" s="3"/>
      <c r="AE27" s="3"/>
    </row>
    <row r="28" spans="1:31" outlineLevel="1" x14ac:dyDescent="0.3">
      <c r="A28" s="76" t="str">
        <f t="shared" si="0"/>
        <v>Строительство</v>
      </c>
      <c r="B28" s="76" t="str">
        <f t="shared" si="0"/>
        <v>исп.</v>
      </c>
      <c r="C28" s="76" t="s">
        <v>35</v>
      </c>
      <c r="D28" s="76" t="s">
        <v>106</v>
      </c>
      <c r="E28" s="92" t="str">
        <f t="shared" ref="E28:E30" si="9">E27</f>
        <v>ТКП №2</v>
      </c>
      <c r="F28" s="7" t="s">
        <v>38</v>
      </c>
      <c r="G28" s="8">
        <v>42794</v>
      </c>
      <c r="H28" s="8">
        <v>42796</v>
      </c>
      <c r="I28" s="23" t="s">
        <v>19</v>
      </c>
      <c r="J28" s="23"/>
      <c r="K28" s="24">
        <v>560000</v>
      </c>
      <c r="L28" s="24">
        <v>700000</v>
      </c>
      <c r="M28" s="24"/>
      <c r="N28" s="85"/>
      <c r="O28" s="41">
        <v>0.2</v>
      </c>
      <c r="P28" s="8">
        <v>42794</v>
      </c>
      <c r="Q28" s="42">
        <f>G28-P28</f>
        <v>0</v>
      </c>
      <c r="R28" s="7"/>
      <c r="S28" s="8"/>
      <c r="T28" s="8"/>
      <c r="U28" s="7"/>
      <c r="V28" s="43"/>
      <c r="W28" s="7"/>
      <c r="X28" s="7"/>
      <c r="Y28" s="7"/>
      <c r="Z28" s="24">
        <f>Z29+Z30</f>
        <v>700000</v>
      </c>
      <c r="AA28" s="24">
        <f>AA29+AA30</f>
        <v>0</v>
      </c>
      <c r="AB28" s="24">
        <f>AB29+AB30</f>
        <v>0</v>
      </c>
      <c r="AC28" s="24">
        <f>AC29+AC30</f>
        <v>0</v>
      </c>
      <c r="AD28" s="44"/>
      <c r="AE28" s="44"/>
    </row>
    <row r="29" spans="1:31" outlineLevel="1" x14ac:dyDescent="0.3">
      <c r="A29" s="76" t="str">
        <f t="shared" si="0"/>
        <v>Строительство</v>
      </c>
      <c r="B29" s="76" t="str">
        <f t="shared" si="0"/>
        <v>исп.</v>
      </c>
      <c r="C29" s="76" t="s">
        <v>35</v>
      </c>
      <c r="D29" s="76" t="s">
        <v>106</v>
      </c>
      <c r="E29" s="92" t="str">
        <f t="shared" si="9"/>
        <v>ТКП №2</v>
      </c>
      <c r="F29" s="92" t="str">
        <f>F28</f>
        <v>АКТ №2</v>
      </c>
      <c r="G29" s="93">
        <f>G28</f>
        <v>42794</v>
      </c>
      <c r="H29" s="18"/>
      <c r="I29" s="15"/>
      <c r="J29" s="15"/>
      <c r="K29" s="9"/>
      <c r="L29" s="9"/>
      <c r="M29" s="9"/>
      <c r="N29" s="84"/>
      <c r="O29" s="17"/>
      <c r="P29" s="18"/>
      <c r="Q29" s="12"/>
      <c r="R29" s="1"/>
      <c r="S29" s="18">
        <f>IF(H28&gt;0,H28+30,G28+30)</f>
        <v>42826</v>
      </c>
      <c r="T29" s="18"/>
      <c r="U29" s="3">
        <f>1*L28</f>
        <v>700000</v>
      </c>
      <c r="V29" s="19">
        <f>IF(Y29&gt;0,Y29-S29,$D$3-S29)</f>
        <v>-22</v>
      </c>
      <c r="W29" s="11" t="s">
        <v>21</v>
      </c>
      <c r="X29" s="11" t="s">
        <v>152</v>
      </c>
      <c r="Y29" s="18">
        <v>42804</v>
      </c>
      <c r="Z29" s="9">
        <v>140000</v>
      </c>
      <c r="AA29" s="3">
        <f>IF(Y29&gt;0,0,Z29)</f>
        <v>0</v>
      </c>
      <c r="AB29" s="3">
        <f t="shared" si="2"/>
        <v>0</v>
      </c>
      <c r="AC29" s="6">
        <f>IF(AND($W29&gt;0,$AA29&gt;0,OR($S29=D$3,$S29&lt;D$3)),$AA29,0)</f>
        <v>0</v>
      </c>
      <c r="AD29" s="3"/>
      <c r="AE29" s="3"/>
    </row>
    <row r="30" spans="1:31" outlineLevel="1" x14ac:dyDescent="0.3">
      <c r="A30" s="76" t="str">
        <f t="shared" si="0"/>
        <v>Строительство</v>
      </c>
      <c r="B30" s="76" t="str">
        <f t="shared" si="0"/>
        <v>исп.</v>
      </c>
      <c r="C30" s="76" t="s">
        <v>35</v>
      </c>
      <c r="D30" s="76" t="s">
        <v>106</v>
      </c>
      <c r="E30" s="92" t="str">
        <f t="shared" si="9"/>
        <v>ТКП №2</v>
      </c>
      <c r="F30" s="92" t="str">
        <f>F29</f>
        <v>АКТ №2</v>
      </c>
      <c r="G30" s="93">
        <f>G29</f>
        <v>42794</v>
      </c>
      <c r="H30" s="18"/>
      <c r="I30" s="15"/>
      <c r="J30" s="15"/>
      <c r="K30" s="9"/>
      <c r="L30" s="9"/>
      <c r="M30" s="9"/>
      <c r="N30" s="84"/>
      <c r="O30" s="17"/>
      <c r="P30" s="18"/>
      <c r="Q30" s="12"/>
      <c r="R30" s="1"/>
      <c r="S30" s="18">
        <f>S29</f>
        <v>42826</v>
      </c>
      <c r="T30" s="18"/>
      <c r="U30" s="3"/>
      <c r="V30" s="19">
        <f>IF(Y30&gt;0,Y30-S30,$D$3-S30)</f>
        <v>3</v>
      </c>
      <c r="W30" s="11" t="s">
        <v>40</v>
      </c>
      <c r="X30" s="11" t="s">
        <v>153</v>
      </c>
      <c r="Y30" s="18">
        <v>42829</v>
      </c>
      <c r="Z30" s="9">
        <v>560000</v>
      </c>
      <c r="AA30" s="3">
        <f>IF(Y30&gt;0,0,Z30)</f>
        <v>0</v>
      </c>
      <c r="AB30" s="3">
        <f t="shared" si="2"/>
        <v>0</v>
      </c>
      <c r="AC30" s="6">
        <f>IF(AND($W30&gt;0,$AA30&gt;0,OR($S30=D$3,$S30&lt;D$3)),$AA30,0)</f>
        <v>0</v>
      </c>
      <c r="AD30" s="3"/>
      <c r="AE30" s="3"/>
    </row>
    <row r="31" spans="1:31" outlineLevel="1" x14ac:dyDescent="0.3">
      <c r="A31" s="76" t="str">
        <f t="shared" si="0"/>
        <v>Строительство</v>
      </c>
      <c r="B31" s="76" t="str">
        <f t="shared" si="0"/>
        <v>исп.</v>
      </c>
      <c r="C31" s="76" t="s">
        <v>35</v>
      </c>
      <c r="D31" s="76" t="s">
        <v>106</v>
      </c>
      <c r="E31" s="11" t="s">
        <v>13</v>
      </c>
      <c r="F31" s="11"/>
      <c r="G31" s="18">
        <v>42756</v>
      </c>
      <c r="H31" s="18"/>
      <c r="I31" s="15" t="s">
        <v>19</v>
      </c>
      <c r="J31" s="9">
        <v>1000000</v>
      </c>
      <c r="K31" s="9">
        <v>800000</v>
      </c>
      <c r="L31" s="9">
        <f>L32</f>
        <v>1000000</v>
      </c>
      <c r="M31" s="9">
        <f>M32</f>
        <v>0</v>
      </c>
      <c r="N31" s="84"/>
      <c r="O31" s="17"/>
      <c r="P31" s="18">
        <v>42825</v>
      </c>
      <c r="Q31" s="12">
        <f>IF(R31&gt;0,$D$3-P31,0)</f>
        <v>0</v>
      </c>
      <c r="R31" s="3">
        <f>J31-L31</f>
        <v>0</v>
      </c>
      <c r="S31" s="18"/>
      <c r="T31" s="18"/>
      <c r="U31" s="3"/>
      <c r="V31" s="19"/>
      <c r="W31" s="11"/>
      <c r="X31" s="11"/>
      <c r="Y31" s="11"/>
      <c r="Z31" s="9"/>
      <c r="AA31" s="3"/>
      <c r="AB31" s="3"/>
      <c r="AC31" s="6"/>
      <c r="AD31" s="3"/>
      <c r="AE31" s="3"/>
    </row>
    <row r="32" spans="1:31" outlineLevel="1" x14ac:dyDescent="0.3">
      <c r="A32" s="76" t="str">
        <f t="shared" si="0"/>
        <v>Строительство</v>
      </c>
      <c r="B32" s="76" t="str">
        <f t="shared" si="0"/>
        <v>исп.</v>
      </c>
      <c r="C32" s="76" t="s">
        <v>35</v>
      </c>
      <c r="D32" s="76" t="s">
        <v>106</v>
      </c>
      <c r="E32" s="92" t="str">
        <f t="shared" ref="E32:E34" si="10">E31</f>
        <v>ТКП №3</v>
      </c>
      <c r="F32" s="7" t="s">
        <v>39</v>
      </c>
      <c r="G32" s="8">
        <v>42825</v>
      </c>
      <c r="H32" s="8">
        <v>42829</v>
      </c>
      <c r="I32" s="23" t="s">
        <v>19</v>
      </c>
      <c r="J32" s="23"/>
      <c r="K32" s="24">
        <v>750000</v>
      </c>
      <c r="L32" s="24">
        <v>1000000</v>
      </c>
      <c r="M32" s="24"/>
      <c r="N32" s="85">
        <v>1</v>
      </c>
      <c r="O32" s="41">
        <v>0.2</v>
      </c>
      <c r="P32" s="8"/>
      <c r="Q32" s="42"/>
      <c r="R32" s="24"/>
      <c r="S32" s="8"/>
      <c r="T32" s="8"/>
      <c r="U32" s="24"/>
      <c r="V32" s="43"/>
      <c r="W32" s="7"/>
      <c r="X32" s="7"/>
      <c r="Y32" s="7"/>
      <c r="Z32" s="24">
        <f>Z33+Z34</f>
        <v>1000000</v>
      </c>
      <c r="AA32" s="24">
        <f>AA33+AA34</f>
        <v>0</v>
      </c>
      <c r="AB32" s="24">
        <f t="shared" si="2"/>
        <v>0</v>
      </c>
      <c r="AC32" s="24">
        <f>AC33+AC34</f>
        <v>0</v>
      </c>
      <c r="AD32" s="24"/>
      <c r="AE32" s="24"/>
    </row>
    <row r="33" spans="1:31" outlineLevel="1" x14ac:dyDescent="0.3">
      <c r="A33" s="76" t="str">
        <f t="shared" si="0"/>
        <v>Строительство</v>
      </c>
      <c r="B33" s="76" t="str">
        <f t="shared" si="0"/>
        <v>исп.</v>
      </c>
      <c r="C33" s="76" t="s">
        <v>35</v>
      </c>
      <c r="D33" s="76" t="s">
        <v>106</v>
      </c>
      <c r="E33" s="92" t="str">
        <f t="shared" si="10"/>
        <v>ТКП №3</v>
      </c>
      <c r="F33" s="92" t="str">
        <f>F32</f>
        <v>АКТ №3</v>
      </c>
      <c r="G33" s="93">
        <f>G32</f>
        <v>42825</v>
      </c>
      <c r="H33" s="18"/>
      <c r="I33" s="15"/>
      <c r="J33" s="9"/>
      <c r="K33" s="9"/>
      <c r="L33" s="9"/>
      <c r="M33" s="9"/>
      <c r="N33" s="84"/>
      <c r="O33" s="17"/>
      <c r="P33" s="18"/>
      <c r="Q33" s="12"/>
      <c r="R33" s="3"/>
      <c r="S33" s="18">
        <f>IF(H32&gt;0,H32+30,G32+30)</f>
        <v>42859</v>
      </c>
      <c r="T33" s="18"/>
      <c r="U33" s="3">
        <f>1*L32</f>
        <v>1000000</v>
      </c>
      <c r="V33" s="19">
        <f>IF(Y33&gt;0,Y33-S33,$D$3-S33)</f>
        <v>-24</v>
      </c>
      <c r="W33" s="11" t="s">
        <v>42</v>
      </c>
      <c r="X33" s="11" t="s">
        <v>152</v>
      </c>
      <c r="Y33" s="18">
        <v>42835</v>
      </c>
      <c r="Z33" s="9">
        <v>250000</v>
      </c>
      <c r="AA33" s="3">
        <f>IF(Y33&gt;0,0,Z33)</f>
        <v>0</v>
      </c>
      <c r="AB33" s="3">
        <f t="shared" si="2"/>
        <v>0</v>
      </c>
      <c r="AC33" s="6">
        <f>IF(AND($W33&gt;0,$AA33&gt;0,OR($S33=D$3,$S33&lt;D$3)),$AA33,0)</f>
        <v>0</v>
      </c>
      <c r="AD33" s="3"/>
      <c r="AE33" s="3"/>
    </row>
    <row r="34" spans="1:31" outlineLevel="1" x14ac:dyDescent="0.3">
      <c r="A34" s="76" t="str">
        <f t="shared" si="0"/>
        <v>Строительство</v>
      </c>
      <c r="B34" s="76" t="str">
        <f t="shared" si="0"/>
        <v>исп.</v>
      </c>
      <c r="C34" s="76" t="s">
        <v>35</v>
      </c>
      <c r="D34" s="76" t="s">
        <v>106</v>
      </c>
      <c r="E34" s="92" t="str">
        <f t="shared" si="10"/>
        <v>ТКП №3</v>
      </c>
      <c r="F34" s="92" t="str">
        <f>F33</f>
        <v>АКТ №3</v>
      </c>
      <c r="G34" s="93">
        <f>G33</f>
        <v>42825</v>
      </c>
      <c r="H34" s="18"/>
      <c r="I34" s="15"/>
      <c r="J34" s="9"/>
      <c r="K34" s="9"/>
      <c r="L34" s="9"/>
      <c r="M34" s="9"/>
      <c r="N34" s="84"/>
      <c r="O34" s="17"/>
      <c r="P34" s="18"/>
      <c r="Q34" s="12"/>
      <c r="R34" s="3"/>
      <c r="S34" s="18">
        <f>S33</f>
        <v>42859</v>
      </c>
      <c r="T34" s="18"/>
      <c r="U34" s="3"/>
      <c r="V34" s="19">
        <f>IF(Y34&gt;0,Y34-S34,$D$3-S34)</f>
        <v>1</v>
      </c>
      <c r="W34" s="11" t="s">
        <v>41</v>
      </c>
      <c r="X34" s="11" t="s">
        <v>153</v>
      </c>
      <c r="Y34" s="18">
        <v>42860</v>
      </c>
      <c r="Z34" s="9">
        <v>750000</v>
      </c>
      <c r="AA34" s="3">
        <f>IF(Y34&gt;0,0,Z34)</f>
        <v>0</v>
      </c>
      <c r="AB34" s="3">
        <f t="shared" si="2"/>
        <v>0</v>
      </c>
      <c r="AC34" s="6">
        <f>IF(AND($W34&gt;0,$AA34&gt;0,OR($S34=D$3,$S34&lt;D$3)),$AA34,0)</f>
        <v>0</v>
      </c>
      <c r="AD34" s="3"/>
      <c r="AE34" s="3"/>
    </row>
    <row r="35" spans="1:31" outlineLevel="1" x14ac:dyDescent="0.3">
      <c r="A35" s="76" t="str">
        <f t="shared" si="0"/>
        <v>Строительство</v>
      </c>
      <c r="B35" s="76" t="str">
        <f t="shared" si="0"/>
        <v>исп.</v>
      </c>
      <c r="C35" s="76" t="s">
        <v>35</v>
      </c>
      <c r="D35" s="76" t="s">
        <v>106</v>
      </c>
      <c r="E35" s="11" t="s">
        <v>14</v>
      </c>
      <c r="F35" s="11"/>
      <c r="G35" s="18">
        <v>42756</v>
      </c>
      <c r="H35" s="18"/>
      <c r="I35" s="15" t="s">
        <v>19</v>
      </c>
      <c r="J35" s="9">
        <v>1000000</v>
      </c>
      <c r="K35" s="9">
        <v>800000</v>
      </c>
      <c r="L35" s="9">
        <f>L36</f>
        <v>1000000</v>
      </c>
      <c r="M35" s="9">
        <f>M36</f>
        <v>0</v>
      </c>
      <c r="N35" s="84"/>
      <c r="O35" s="17"/>
      <c r="P35" s="18">
        <v>42855</v>
      </c>
      <c r="Q35" s="12">
        <f>IF(R35&gt;0,$D$3-P35,0)</f>
        <v>0</v>
      </c>
      <c r="R35" s="3">
        <f>J35-L35</f>
        <v>0</v>
      </c>
      <c r="S35" s="18"/>
      <c r="T35" s="18"/>
      <c r="U35" s="3"/>
      <c r="V35" s="19"/>
      <c r="W35" s="11"/>
      <c r="X35" s="11"/>
      <c r="Y35" s="11"/>
      <c r="Z35" s="9"/>
      <c r="AA35" s="3"/>
      <c r="AB35" s="3"/>
      <c r="AC35" s="6"/>
      <c r="AD35" s="3"/>
      <c r="AE35" s="3"/>
    </row>
    <row r="36" spans="1:31" outlineLevel="1" x14ac:dyDescent="0.3">
      <c r="A36" s="76" t="str">
        <f t="shared" si="0"/>
        <v>Строительство</v>
      </c>
      <c r="B36" s="76" t="str">
        <f t="shared" si="0"/>
        <v>исп.</v>
      </c>
      <c r="C36" s="76" t="s">
        <v>35</v>
      </c>
      <c r="D36" s="76" t="s">
        <v>106</v>
      </c>
      <c r="E36" s="92" t="str">
        <f t="shared" ref="E36:E39" si="11">E35</f>
        <v>ТКП №4</v>
      </c>
      <c r="F36" s="7" t="s">
        <v>43</v>
      </c>
      <c r="G36" s="8">
        <v>42855</v>
      </c>
      <c r="H36" s="8">
        <v>42860</v>
      </c>
      <c r="I36" s="23" t="s">
        <v>19</v>
      </c>
      <c r="J36" s="23"/>
      <c r="K36" s="24">
        <v>750000</v>
      </c>
      <c r="L36" s="24">
        <v>1000000</v>
      </c>
      <c r="M36" s="24"/>
      <c r="N36" s="85">
        <v>1</v>
      </c>
      <c r="O36" s="41">
        <v>0.2</v>
      </c>
      <c r="P36" s="8"/>
      <c r="Q36" s="42"/>
      <c r="R36" s="7"/>
      <c r="S36" s="8"/>
      <c r="T36" s="8"/>
      <c r="U36" s="7"/>
      <c r="V36" s="43"/>
      <c r="W36" s="7"/>
      <c r="X36" s="7"/>
      <c r="Y36" s="7"/>
      <c r="Z36" s="24">
        <f>Z37</f>
        <v>250000</v>
      </c>
      <c r="AA36" s="44">
        <f>AA37+AA38+AA39</f>
        <v>730000</v>
      </c>
      <c r="AB36" s="44">
        <f t="shared" ref="AB36:AC36" si="12">AB37+AB38+AB39</f>
        <v>0</v>
      </c>
      <c r="AC36" s="44">
        <f t="shared" si="12"/>
        <v>0</v>
      </c>
      <c r="AD36" s="24"/>
      <c r="AE36" s="24"/>
    </row>
    <row r="37" spans="1:31" outlineLevel="1" x14ac:dyDescent="0.3">
      <c r="A37" s="76" t="str">
        <f t="shared" si="0"/>
        <v>Строительство</v>
      </c>
      <c r="B37" s="76" t="str">
        <f t="shared" si="0"/>
        <v>исп.</v>
      </c>
      <c r="C37" s="76" t="s">
        <v>35</v>
      </c>
      <c r="D37" s="76" t="s">
        <v>106</v>
      </c>
      <c r="E37" s="92" t="str">
        <f t="shared" si="11"/>
        <v>ТКП №4</v>
      </c>
      <c r="F37" s="92" t="str">
        <f t="shared" ref="F37:G39" si="13">F36</f>
        <v>АКТ №4</v>
      </c>
      <c r="G37" s="93">
        <f t="shared" si="13"/>
        <v>42855</v>
      </c>
      <c r="H37" s="2"/>
      <c r="I37" s="2"/>
      <c r="J37" s="2"/>
      <c r="K37" s="9"/>
      <c r="L37" s="9"/>
      <c r="M37" s="9"/>
      <c r="N37" s="84"/>
      <c r="O37" s="18"/>
      <c r="P37" s="18"/>
      <c r="Q37" s="12"/>
      <c r="R37" s="1"/>
      <c r="S37" s="18">
        <f>IF(H36&gt;0,H36+30,G36+30)</f>
        <v>42890</v>
      </c>
      <c r="T37" s="18"/>
      <c r="U37" s="3">
        <f>1*L36</f>
        <v>1000000</v>
      </c>
      <c r="V37" s="19">
        <f>IF(Y37&gt;0,Y37-S37,$D$3-S37)</f>
        <v>-55</v>
      </c>
      <c r="W37" s="11" t="s">
        <v>42</v>
      </c>
      <c r="X37" s="11" t="s">
        <v>152</v>
      </c>
      <c r="Y37" s="18">
        <v>42835</v>
      </c>
      <c r="Z37" s="9">
        <v>250000</v>
      </c>
      <c r="AA37" s="3">
        <f>IF(Y37&gt;0,0,Z37)</f>
        <v>0</v>
      </c>
      <c r="AB37" s="3">
        <f t="shared" si="2"/>
        <v>0</v>
      </c>
      <c r="AC37" s="6">
        <f>IF(AND($W37&gt;0,$AA37&gt;0,OR($S37=D$3,$S37&lt;D$3)),$AA37,0)</f>
        <v>0</v>
      </c>
      <c r="AD37" s="3"/>
      <c r="AE37" s="3"/>
    </row>
    <row r="38" spans="1:31" outlineLevel="1" x14ac:dyDescent="0.3">
      <c r="A38" s="76" t="str">
        <f t="shared" si="0"/>
        <v>Строительство</v>
      </c>
      <c r="B38" s="76" t="str">
        <f t="shared" si="0"/>
        <v>исп.</v>
      </c>
      <c r="C38" s="76" t="s">
        <v>35</v>
      </c>
      <c r="D38" s="76" t="s">
        <v>106</v>
      </c>
      <c r="E38" s="92" t="str">
        <f t="shared" si="11"/>
        <v>ТКП №4</v>
      </c>
      <c r="F38" s="92" t="str">
        <f t="shared" si="13"/>
        <v>АКТ №4</v>
      </c>
      <c r="G38" s="93">
        <f t="shared" si="13"/>
        <v>42855</v>
      </c>
      <c r="H38" s="2"/>
      <c r="I38" s="2"/>
      <c r="J38" s="2"/>
      <c r="K38" s="9"/>
      <c r="L38" s="9"/>
      <c r="M38" s="9"/>
      <c r="N38" s="84"/>
      <c r="O38" s="18"/>
      <c r="P38" s="18"/>
      <c r="Q38" s="12"/>
      <c r="R38" s="1"/>
      <c r="S38" s="105">
        <f>S37</f>
        <v>42890</v>
      </c>
      <c r="T38" s="105"/>
      <c r="U38" s="106"/>
      <c r="V38" s="107">
        <f>IF(Y38&gt;0,Y38-S38,$D$3-S38)</f>
        <v>-53</v>
      </c>
      <c r="W38" s="108" t="s">
        <v>127</v>
      </c>
      <c r="X38" s="108"/>
      <c r="Y38" s="105">
        <v>42837</v>
      </c>
      <c r="Z38" s="106">
        <v>20000</v>
      </c>
      <c r="AA38" s="9">
        <f>IF(Y38&gt;0,0,Z38)</f>
        <v>0</v>
      </c>
      <c r="AB38" s="3">
        <f t="shared" si="2"/>
        <v>0</v>
      </c>
      <c r="AC38" s="6">
        <f>IF(AND($W38&gt;0,$AA38&gt;0,OR($S38=D$3,$S38&lt;D$3)),$AA38,0)</f>
        <v>0</v>
      </c>
      <c r="AD38" s="3"/>
      <c r="AE38" s="3"/>
    </row>
    <row r="39" spans="1:31" outlineLevel="1" x14ac:dyDescent="0.3">
      <c r="A39" s="76" t="str">
        <f t="shared" si="0"/>
        <v>Строительство</v>
      </c>
      <c r="B39" s="76" t="str">
        <f t="shared" si="0"/>
        <v>исп.</v>
      </c>
      <c r="C39" s="76" t="s">
        <v>35</v>
      </c>
      <c r="D39" s="76" t="s">
        <v>106</v>
      </c>
      <c r="E39" s="92" t="str">
        <f t="shared" si="11"/>
        <v>ТКП №4</v>
      </c>
      <c r="F39" s="92" t="str">
        <f t="shared" si="13"/>
        <v>АКТ №4</v>
      </c>
      <c r="G39" s="93">
        <f t="shared" si="13"/>
        <v>42855</v>
      </c>
      <c r="H39" s="2"/>
      <c r="I39" s="2"/>
      <c r="J39" s="2"/>
      <c r="K39" s="9"/>
      <c r="L39" s="9"/>
      <c r="M39" s="9"/>
      <c r="N39" s="84"/>
      <c r="O39" s="18"/>
      <c r="P39" s="18"/>
      <c r="Q39" s="12"/>
      <c r="R39" s="1"/>
      <c r="S39" s="18">
        <f>S38</f>
        <v>42890</v>
      </c>
      <c r="T39" s="18"/>
      <c r="U39" s="9"/>
      <c r="V39" s="51">
        <f>IF(Y39&gt;0,Y39-S39,$D$3-S39)</f>
        <v>-51</v>
      </c>
      <c r="W39" s="11" t="s">
        <v>44</v>
      </c>
      <c r="X39" s="11"/>
      <c r="Y39" s="18"/>
      <c r="Z39" s="9">
        <f>U37-Z37-Z38</f>
        <v>730000</v>
      </c>
      <c r="AA39" s="9">
        <f>IF(Y39&gt;0,0,Z39)</f>
        <v>730000</v>
      </c>
      <c r="AB39" s="3">
        <f t="shared" ref="AB39" si="14">IF(AND(T39="аванс",AA39&gt;0),AA39,0)</f>
        <v>0</v>
      </c>
      <c r="AC39" s="6">
        <f>IF(AND($W39&gt;0,$AA39&gt;0,OR($S39=D$3,$S39&lt;D$3)),$AA39,0)</f>
        <v>0</v>
      </c>
      <c r="AD39" s="3"/>
      <c r="AE39" s="3"/>
    </row>
    <row r="40" spans="1:31" outlineLevel="1" x14ac:dyDescent="0.3">
      <c r="A40" s="76" t="str">
        <f t="shared" si="0"/>
        <v>Строительство</v>
      </c>
      <c r="B40" s="1" t="s">
        <v>4</v>
      </c>
      <c r="C40" s="76" t="s">
        <v>35</v>
      </c>
      <c r="D40" s="4" t="s">
        <v>107</v>
      </c>
      <c r="E40" s="10"/>
      <c r="F40" s="10"/>
      <c r="G40" s="5">
        <v>42756</v>
      </c>
      <c r="H40" s="5"/>
      <c r="I40" s="5" t="s">
        <v>19</v>
      </c>
      <c r="J40" s="6">
        <v>5000000</v>
      </c>
      <c r="K40" s="9"/>
      <c r="L40" s="20">
        <f>L41+L46+L51+L60</f>
        <v>2350000</v>
      </c>
      <c r="M40" s="20">
        <f>M41+M46+M51+M60</f>
        <v>1000000</v>
      </c>
      <c r="N40" s="84"/>
      <c r="O40" s="17">
        <v>0.2</v>
      </c>
      <c r="P40" s="36"/>
      <c r="Q40" s="13"/>
      <c r="R40" s="6">
        <f>J40-L40</f>
        <v>2650000</v>
      </c>
      <c r="S40" s="5"/>
      <c r="T40" s="6"/>
      <c r="U40" s="6"/>
      <c r="V40" s="6"/>
      <c r="W40" s="1"/>
      <c r="X40" s="1"/>
      <c r="Y40" s="1"/>
      <c r="Z40" s="20">
        <f>Z42+Z47+Z52+Z57+Z67+Z68</f>
        <v>2500000</v>
      </c>
      <c r="AA40" s="27">
        <f>AA42+AA47+AA52+AA57+SUM(AA61:AA66)</f>
        <v>1550000</v>
      </c>
      <c r="AB40" s="27">
        <f>AB42+AB47+AB52+AB57+SUM(AB61:AB66)</f>
        <v>500000</v>
      </c>
      <c r="AC40" s="27">
        <f>AC42+AC47+AC52+AC57+SUM(AC61:AC66)</f>
        <v>460000</v>
      </c>
      <c r="AD40" s="6" t="s">
        <v>48</v>
      </c>
      <c r="AE40" s="6"/>
    </row>
    <row r="41" spans="1:31" outlineLevel="1" x14ac:dyDescent="0.3">
      <c r="A41" s="76" t="str">
        <f t="shared" si="0"/>
        <v>Строительство</v>
      </c>
      <c r="B41" s="76" t="str">
        <f t="shared" si="0"/>
        <v>исп.</v>
      </c>
      <c r="C41" s="76" t="s">
        <v>35</v>
      </c>
      <c r="D41" s="76" t="s">
        <v>107</v>
      </c>
      <c r="E41" s="11" t="s">
        <v>11</v>
      </c>
      <c r="F41" s="11"/>
      <c r="G41" s="18">
        <v>42756</v>
      </c>
      <c r="H41" s="18"/>
      <c r="I41" s="15" t="s">
        <v>19</v>
      </c>
      <c r="J41" s="9">
        <v>1000000</v>
      </c>
      <c r="K41" s="9"/>
      <c r="L41" s="9">
        <f>L42</f>
        <v>500000</v>
      </c>
      <c r="M41" s="9">
        <f>M42</f>
        <v>200000</v>
      </c>
      <c r="N41" s="84"/>
      <c r="O41" s="17"/>
      <c r="P41" s="18">
        <v>42766</v>
      </c>
      <c r="Q41" s="16">
        <f>IF(R41&gt;0,$D$3-P41,0)</f>
        <v>73</v>
      </c>
      <c r="R41" s="3">
        <f>J41-L41</f>
        <v>500000</v>
      </c>
      <c r="S41" s="18"/>
      <c r="T41" s="18"/>
      <c r="U41" s="3"/>
      <c r="V41" s="19"/>
      <c r="W41" s="1"/>
      <c r="X41" s="1"/>
      <c r="Y41" s="1"/>
      <c r="Z41" s="9"/>
      <c r="AA41" s="3"/>
      <c r="AB41" s="3"/>
      <c r="AC41" s="6"/>
      <c r="AD41" s="3"/>
      <c r="AE41" s="3"/>
    </row>
    <row r="42" spans="1:31" outlineLevel="1" x14ac:dyDescent="0.3">
      <c r="A42" s="76" t="str">
        <f t="shared" si="0"/>
        <v>Строительство</v>
      </c>
      <c r="B42" s="76" t="str">
        <f t="shared" si="0"/>
        <v>исп.</v>
      </c>
      <c r="C42" s="76" t="s">
        <v>35</v>
      </c>
      <c r="D42" s="76" t="s">
        <v>107</v>
      </c>
      <c r="E42" s="92" t="str">
        <f t="shared" ref="E42:E45" si="15">E41</f>
        <v>ТКП №1</v>
      </c>
      <c r="F42" s="7" t="s">
        <v>37</v>
      </c>
      <c r="G42" s="8">
        <v>42766</v>
      </c>
      <c r="H42" s="8">
        <v>42770</v>
      </c>
      <c r="I42" s="23" t="s">
        <v>19</v>
      </c>
      <c r="J42" s="23"/>
      <c r="K42" s="24"/>
      <c r="L42" s="24">
        <v>500000</v>
      </c>
      <c r="M42" s="24">
        <v>200000</v>
      </c>
      <c r="N42" s="85">
        <v>1</v>
      </c>
      <c r="O42" s="41">
        <v>0.2</v>
      </c>
      <c r="P42" s="8">
        <f>P41</f>
        <v>42766</v>
      </c>
      <c r="Q42" s="42">
        <f>G42-P42</f>
        <v>0</v>
      </c>
      <c r="R42" s="24"/>
      <c r="S42" s="8"/>
      <c r="T42" s="8"/>
      <c r="U42" s="24"/>
      <c r="V42" s="43"/>
      <c r="W42" s="7"/>
      <c r="X42" s="7"/>
      <c r="Y42" s="7"/>
      <c r="Z42" s="24">
        <f>Z44+Z45+Z43</f>
        <v>700000</v>
      </c>
      <c r="AA42" s="24">
        <f>AA44+AA45</f>
        <v>0</v>
      </c>
      <c r="AB42" s="24">
        <f t="shared" ref="AB42:AC42" si="16">AB43+AB44</f>
        <v>0</v>
      </c>
      <c r="AC42" s="24">
        <f t="shared" si="16"/>
        <v>0</v>
      </c>
      <c r="AD42" s="44"/>
      <c r="AE42" s="44"/>
    </row>
    <row r="43" spans="1:31" outlineLevel="1" x14ac:dyDescent="0.3">
      <c r="A43" s="76" t="str">
        <f t="shared" si="0"/>
        <v>Строительство</v>
      </c>
      <c r="B43" s="76" t="str">
        <f t="shared" si="0"/>
        <v>исп.</v>
      </c>
      <c r="C43" s="76" t="s">
        <v>35</v>
      </c>
      <c r="D43" s="76" t="s">
        <v>107</v>
      </c>
      <c r="E43" s="92" t="str">
        <f t="shared" si="15"/>
        <v>ТКП №1</v>
      </c>
      <c r="F43" s="92" t="str">
        <f t="shared" ref="F43:G45" si="17">F42</f>
        <v>АКТ №1</v>
      </c>
      <c r="G43" s="93">
        <f t="shared" si="17"/>
        <v>42766</v>
      </c>
      <c r="H43" s="8"/>
      <c r="I43" s="23"/>
      <c r="J43" s="15"/>
      <c r="K43" s="9"/>
      <c r="L43" s="9"/>
      <c r="M43" s="9"/>
      <c r="N43" s="84"/>
      <c r="O43" s="17"/>
      <c r="P43" s="18"/>
      <c r="Q43" s="12"/>
      <c r="R43" s="3"/>
      <c r="S43" s="18"/>
      <c r="T43" s="18"/>
      <c r="U43" s="3"/>
      <c r="V43" s="19"/>
      <c r="W43" s="48" t="s">
        <v>63</v>
      </c>
      <c r="X43" s="48" t="s">
        <v>152</v>
      </c>
      <c r="Y43" s="49">
        <v>42754</v>
      </c>
      <c r="Z43" s="50">
        <v>200000</v>
      </c>
      <c r="AA43" s="3"/>
      <c r="AB43" s="3"/>
      <c r="AC43" s="6">
        <f>IF(AND($W43&gt;0,$AA43&gt;0,OR($S43=D$3,$S43&lt;D$3)),$AA43,0)</f>
        <v>0</v>
      </c>
      <c r="AD43" s="6"/>
      <c r="AE43" s="6"/>
    </row>
    <row r="44" spans="1:31" outlineLevel="1" x14ac:dyDescent="0.3">
      <c r="A44" s="76" t="str">
        <f t="shared" si="0"/>
        <v>Строительство</v>
      </c>
      <c r="B44" s="76" t="str">
        <f t="shared" si="0"/>
        <v>исп.</v>
      </c>
      <c r="C44" s="76" t="s">
        <v>35</v>
      </c>
      <c r="D44" s="76" t="s">
        <v>107</v>
      </c>
      <c r="E44" s="92" t="str">
        <f t="shared" si="15"/>
        <v>ТКП №1</v>
      </c>
      <c r="F44" s="92" t="str">
        <f t="shared" si="17"/>
        <v>АКТ №1</v>
      </c>
      <c r="G44" s="93">
        <f t="shared" si="17"/>
        <v>42766</v>
      </c>
      <c r="H44" s="18"/>
      <c r="I44" s="15"/>
      <c r="J44" s="15"/>
      <c r="K44" s="9"/>
      <c r="L44" s="9"/>
      <c r="M44" s="9"/>
      <c r="N44" s="84"/>
      <c r="O44" s="17"/>
      <c r="P44" s="18"/>
      <c r="Q44" s="12"/>
      <c r="R44" s="3"/>
      <c r="S44" s="18">
        <f>IF(H42&gt;0,H42+11,G42+11)</f>
        <v>42781</v>
      </c>
      <c r="T44" s="18" t="s">
        <v>29</v>
      </c>
      <c r="U44" s="3">
        <f>0.4*(L42-M42)</f>
        <v>120000</v>
      </c>
      <c r="V44" s="19">
        <f>IF(Y44&gt;0,Y44-S44,$D$3-S44)</f>
        <v>-5</v>
      </c>
      <c r="W44" s="11" t="s">
        <v>20</v>
      </c>
      <c r="X44" s="11" t="s">
        <v>152</v>
      </c>
      <c r="Y44" s="18">
        <v>42776</v>
      </c>
      <c r="Z44" s="9">
        <v>200000</v>
      </c>
      <c r="AA44" s="3">
        <f>IF(Y44&gt;0,0,Z44)</f>
        <v>0</v>
      </c>
      <c r="AB44" s="3">
        <f t="shared" ref="AB44:AB59" si="18">IF(AND(T44="аванс",AA44&gt;0),AA44,0)</f>
        <v>0</v>
      </c>
      <c r="AC44" s="6">
        <f>IF(AND($W44&gt;0,$AA44&gt;0,OR($S44=D$3,$S44&lt;D$3)),$AA44,0)</f>
        <v>0</v>
      </c>
      <c r="AD44" s="3"/>
      <c r="AE44" s="3"/>
    </row>
    <row r="45" spans="1:31" outlineLevel="1" x14ac:dyDescent="0.3">
      <c r="A45" s="76" t="str">
        <f t="shared" si="0"/>
        <v>Строительство</v>
      </c>
      <c r="B45" s="76" t="str">
        <f t="shared" si="0"/>
        <v>исп.</v>
      </c>
      <c r="C45" s="76" t="s">
        <v>35</v>
      </c>
      <c r="D45" s="76" t="s">
        <v>107</v>
      </c>
      <c r="E45" s="92" t="str">
        <f t="shared" si="15"/>
        <v>ТКП №1</v>
      </c>
      <c r="F45" s="92" t="str">
        <f t="shared" si="17"/>
        <v>АКТ №1</v>
      </c>
      <c r="G45" s="93">
        <f t="shared" si="17"/>
        <v>42766</v>
      </c>
      <c r="H45" s="18"/>
      <c r="I45" s="15"/>
      <c r="J45" s="15"/>
      <c r="K45" s="9"/>
      <c r="L45" s="9"/>
      <c r="M45" s="9"/>
      <c r="N45" s="84"/>
      <c r="O45" s="17"/>
      <c r="P45" s="18"/>
      <c r="Q45" s="12"/>
      <c r="R45" s="3"/>
      <c r="S45" s="18">
        <f>IF(H42&gt;0,H42+31,G42+31)</f>
        <v>42801</v>
      </c>
      <c r="T45" s="18" t="s">
        <v>30</v>
      </c>
      <c r="U45" s="3">
        <f>0.6*(L42-M42)</f>
        <v>180000</v>
      </c>
      <c r="V45" s="19">
        <f>IF(Y45&gt;0,Y45-S45,$D$3-S45)</f>
        <v>-25</v>
      </c>
      <c r="W45" s="11" t="s">
        <v>20</v>
      </c>
      <c r="X45" s="11" t="s">
        <v>152</v>
      </c>
      <c r="Y45" s="18">
        <v>42776</v>
      </c>
      <c r="Z45" s="9">
        <v>300000</v>
      </c>
      <c r="AA45" s="3">
        <f>IF(Y45&gt;0,0,Z45)</f>
        <v>0</v>
      </c>
      <c r="AB45" s="3">
        <f t="shared" si="18"/>
        <v>0</v>
      </c>
      <c r="AC45" s="6">
        <f>IF(AND($W45&gt;0,$AA45&gt;0,OR($S45=D$3,$S45&lt;D$3)),$AA45,0)</f>
        <v>0</v>
      </c>
      <c r="AD45" s="3"/>
      <c r="AE45" s="3"/>
    </row>
    <row r="46" spans="1:31" outlineLevel="1" x14ac:dyDescent="0.3">
      <c r="A46" s="76" t="str">
        <f t="shared" si="0"/>
        <v>Строительство</v>
      </c>
      <c r="B46" s="76" t="str">
        <f t="shared" si="0"/>
        <v>исп.</v>
      </c>
      <c r="C46" s="76" t="s">
        <v>35</v>
      </c>
      <c r="D46" s="76" t="s">
        <v>107</v>
      </c>
      <c r="E46" s="11" t="s">
        <v>12</v>
      </c>
      <c r="F46" s="11"/>
      <c r="G46" s="18">
        <v>42756</v>
      </c>
      <c r="H46" s="18"/>
      <c r="I46" s="15" t="s">
        <v>19</v>
      </c>
      <c r="J46" s="9">
        <v>1000000</v>
      </c>
      <c r="K46" s="9"/>
      <c r="L46" s="9">
        <f>L47</f>
        <v>700000</v>
      </c>
      <c r="M46" s="9">
        <f>M47</f>
        <v>300000</v>
      </c>
      <c r="N46" s="84"/>
      <c r="O46" s="17"/>
      <c r="P46" s="18">
        <v>42794</v>
      </c>
      <c r="Q46" s="12">
        <f>IF(R46&gt;0,$D$3-P46,0)</f>
        <v>45</v>
      </c>
      <c r="R46" s="3">
        <f>J46-L46</f>
        <v>300000</v>
      </c>
      <c r="S46" s="18"/>
      <c r="T46" s="18"/>
      <c r="U46" s="3"/>
      <c r="V46" s="19"/>
      <c r="W46" s="11"/>
      <c r="X46" s="11"/>
      <c r="Y46" s="11"/>
      <c r="Z46" s="9"/>
      <c r="AA46" s="3"/>
      <c r="AB46" s="3"/>
      <c r="AC46" s="6"/>
      <c r="AD46" s="3"/>
      <c r="AE46" s="3"/>
    </row>
    <row r="47" spans="1:31" outlineLevel="1" x14ac:dyDescent="0.3">
      <c r="A47" s="76" t="str">
        <f t="shared" si="0"/>
        <v>Строительство</v>
      </c>
      <c r="B47" s="76" t="str">
        <f t="shared" si="0"/>
        <v>исп.</v>
      </c>
      <c r="C47" s="76" t="s">
        <v>35</v>
      </c>
      <c r="D47" s="76" t="s">
        <v>107</v>
      </c>
      <c r="E47" s="92" t="str">
        <f t="shared" ref="E47:E50" si="19">E46</f>
        <v>ТКП №2</v>
      </c>
      <c r="F47" s="7" t="s">
        <v>38</v>
      </c>
      <c r="G47" s="8">
        <v>42794</v>
      </c>
      <c r="H47" s="8">
        <v>42796</v>
      </c>
      <c r="I47" s="23" t="s">
        <v>19</v>
      </c>
      <c r="J47" s="23"/>
      <c r="K47" s="24"/>
      <c r="L47" s="24">
        <v>700000</v>
      </c>
      <c r="M47" s="24">
        <v>300000</v>
      </c>
      <c r="N47" s="85">
        <v>1</v>
      </c>
      <c r="O47" s="41">
        <v>0.2</v>
      </c>
      <c r="P47" s="8">
        <v>42794</v>
      </c>
      <c r="Q47" s="42">
        <f>G47-P47</f>
        <v>0</v>
      </c>
      <c r="R47" s="7"/>
      <c r="S47" s="8"/>
      <c r="T47" s="8"/>
      <c r="U47" s="24"/>
      <c r="V47" s="43"/>
      <c r="W47" s="7"/>
      <c r="X47" s="7"/>
      <c r="Y47" s="7"/>
      <c r="Z47" s="24">
        <f>Z48</f>
        <v>300000</v>
      </c>
      <c r="AA47" s="78">
        <f>AA49+AA50</f>
        <v>400000</v>
      </c>
      <c r="AB47" s="78">
        <f t="shared" ref="AB47:AD47" si="20">AB49+AB50</f>
        <v>0</v>
      </c>
      <c r="AC47" s="78">
        <f t="shared" si="20"/>
        <v>400000</v>
      </c>
      <c r="AD47" s="78">
        <f t="shared" si="20"/>
        <v>0</v>
      </c>
      <c r="AE47" s="78"/>
    </row>
    <row r="48" spans="1:31" outlineLevel="1" x14ac:dyDescent="0.3">
      <c r="A48" s="76" t="str">
        <f t="shared" si="0"/>
        <v>Строительство</v>
      </c>
      <c r="B48" s="76" t="str">
        <f t="shared" si="0"/>
        <v>исп.</v>
      </c>
      <c r="C48" s="76" t="s">
        <v>35</v>
      </c>
      <c r="D48" s="76" t="s">
        <v>107</v>
      </c>
      <c r="E48" s="92" t="str">
        <f t="shared" si="19"/>
        <v>ТКП №2</v>
      </c>
      <c r="F48" s="92" t="str">
        <f t="shared" ref="F48:G50" si="21">F47</f>
        <v>АКТ №2</v>
      </c>
      <c r="G48" s="93">
        <f t="shared" si="21"/>
        <v>42794</v>
      </c>
      <c r="H48" s="18"/>
      <c r="I48" s="15"/>
      <c r="J48" s="15"/>
      <c r="K48" s="9"/>
      <c r="L48" s="9"/>
      <c r="M48" s="9"/>
      <c r="N48" s="84"/>
      <c r="O48" s="17"/>
      <c r="P48" s="18"/>
      <c r="Q48" s="12"/>
      <c r="R48" s="1"/>
      <c r="S48" s="18"/>
      <c r="T48" s="18"/>
      <c r="U48" s="3"/>
      <c r="V48" s="19"/>
      <c r="W48" s="48" t="s">
        <v>63</v>
      </c>
      <c r="X48" s="48" t="s">
        <v>152</v>
      </c>
      <c r="Y48" s="49">
        <v>42754</v>
      </c>
      <c r="Z48" s="50">
        <v>300000</v>
      </c>
      <c r="AA48" s="6"/>
      <c r="AB48" s="3"/>
      <c r="AC48" s="6">
        <f>IF(AND($W48&gt;0,$AA48&gt;0,OR($S48=D$3,$S48&lt;D$3)),$AA48,0)</f>
        <v>0</v>
      </c>
      <c r="AD48" s="6"/>
      <c r="AE48" s="6"/>
    </row>
    <row r="49" spans="1:31" outlineLevel="1" x14ac:dyDescent="0.3">
      <c r="A49" s="76" t="str">
        <f t="shared" si="0"/>
        <v>Строительство</v>
      </c>
      <c r="B49" s="76" t="str">
        <f t="shared" si="0"/>
        <v>исп.</v>
      </c>
      <c r="C49" s="76" t="s">
        <v>35</v>
      </c>
      <c r="D49" s="76" t="s">
        <v>107</v>
      </c>
      <c r="E49" s="92" t="str">
        <f t="shared" si="19"/>
        <v>ТКП №2</v>
      </c>
      <c r="F49" s="92" t="str">
        <f t="shared" si="21"/>
        <v>АКТ №2</v>
      </c>
      <c r="G49" s="93">
        <f t="shared" si="21"/>
        <v>42794</v>
      </c>
      <c r="H49" s="18"/>
      <c r="I49" s="15"/>
      <c r="J49" s="15"/>
      <c r="K49" s="9"/>
      <c r="L49" s="9"/>
      <c r="M49" s="9"/>
      <c r="N49" s="84"/>
      <c r="O49" s="17"/>
      <c r="P49" s="18"/>
      <c r="Q49" s="12"/>
      <c r="R49" s="1"/>
      <c r="S49" s="18">
        <f>IF(H47&gt;0,H47+11,G47+11)</f>
        <v>42807</v>
      </c>
      <c r="T49" s="18" t="s">
        <v>29</v>
      </c>
      <c r="U49" s="3">
        <f>0.4*(L47-M47)</f>
        <v>160000</v>
      </c>
      <c r="V49" s="19">
        <f>IF(Y49&gt;0,Y49-S49,$D$3-S49)</f>
        <v>32</v>
      </c>
      <c r="W49" s="11" t="s">
        <v>44</v>
      </c>
      <c r="X49" s="11"/>
      <c r="Y49" s="11"/>
      <c r="Z49" s="9">
        <f>U49</f>
        <v>160000</v>
      </c>
      <c r="AA49" s="3">
        <f>IF(Y49&gt;0,0,Z49)</f>
        <v>160000</v>
      </c>
      <c r="AB49" s="3">
        <f t="shared" si="18"/>
        <v>0</v>
      </c>
      <c r="AC49" s="6">
        <f>IF(AND($W49&gt;0,$AA49&gt;0,OR($S49=D$3,$S49&lt;D$3)),$AA49,0)</f>
        <v>160000</v>
      </c>
      <c r="AD49" s="3"/>
      <c r="AE49" s="3"/>
    </row>
    <row r="50" spans="1:31" outlineLevel="1" x14ac:dyDescent="0.3">
      <c r="A50" s="76" t="str">
        <f t="shared" si="0"/>
        <v>Строительство</v>
      </c>
      <c r="B50" s="76" t="str">
        <f t="shared" si="0"/>
        <v>исп.</v>
      </c>
      <c r="C50" s="76" t="s">
        <v>35</v>
      </c>
      <c r="D50" s="76" t="s">
        <v>107</v>
      </c>
      <c r="E50" s="92" t="str">
        <f t="shared" si="19"/>
        <v>ТКП №2</v>
      </c>
      <c r="F50" s="92" t="str">
        <f t="shared" si="21"/>
        <v>АКТ №2</v>
      </c>
      <c r="G50" s="93">
        <f t="shared" si="21"/>
        <v>42794</v>
      </c>
      <c r="H50" s="18"/>
      <c r="I50" s="15"/>
      <c r="J50" s="15"/>
      <c r="K50" s="9"/>
      <c r="L50" s="9"/>
      <c r="M50" s="9"/>
      <c r="N50" s="84"/>
      <c r="O50" s="17"/>
      <c r="P50" s="18"/>
      <c r="Q50" s="12"/>
      <c r="R50" s="1"/>
      <c r="S50" s="18">
        <f>IF(H47&gt;0,H47+31,G47+31)</f>
        <v>42827</v>
      </c>
      <c r="T50" s="18" t="s">
        <v>30</v>
      </c>
      <c r="U50" s="3">
        <f>0.6*(L47-M47)</f>
        <v>240000</v>
      </c>
      <c r="V50" s="19">
        <f>IF(Y50&gt;0,Y50-S50,$D$3-S50)</f>
        <v>12</v>
      </c>
      <c r="W50" s="11" t="s">
        <v>44</v>
      </c>
      <c r="X50" s="11"/>
      <c r="Y50" s="11"/>
      <c r="Z50" s="9">
        <f>U50</f>
        <v>240000</v>
      </c>
      <c r="AA50" s="3">
        <f>IF(Y50&gt;0,0,Z50)</f>
        <v>240000</v>
      </c>
      <c r="AB50" s="3">
        <f t="shared" si="18"/>
        <v>0</v>
      </c>
      <c r="AC50" s="6">
        <f>IF(AND($W50&gt;0,$AA50&gt;0,OR($S50=D$3,$S50&lt;D$3)),$AA50,0)</f>
        <v>240000</v>
      </c>
      <c r="AD50" s="3"/>
      <c r="AE50" s="3"/>
    </row>
    <row r="51" spans="1:31" outlineLevel="1" x14ac:dyDescent="0.3">
      <c r="A51" s="76" t="str">
        <f t="shared" si="0"/>
        <v>Строительство</v>
      </c>
      <c r="B51" s="76" t="str">
        <f t="shared" si="0"/>
        <v>исп.</v>
      </c>
      <c r="C51" s="76" t="s">
        <v>35</v>
      </c>
      <c r="D51" s="76" t="s">
        <v>107</v>
      </c>
      <c r="E51" s="11" t="s">
        <v>13</v>
      </c>
      <c r="F51" s="11"/>
      <c r="G51" s="18">
        <v>42756</v>
      </c>
      <c r="H51" s="18"/>
      <c r="I51" s="15" t="s">
        <v>19</v>
      </c>
      <c r="J51" s="9">
        <v>1000000</v>
      </c>
      <c r="K51" s="9"/>
      <c r="L51" s="9">
        <f>L52+L57</f>
        <v>1150000</v>
      </c>
      <c r="M51" s="9">
        <f>M52+M57</f>
        <v>500000</v>
      </c>
      <c r="N51" s="84"/>
      <c r="O51" s="17"/>
      <c r="P51" s="18">
        <v>42825</v>
      </c>
      <c r="Q51" s="12">
        <f>IF(R51&gt;0,$D$3-P51,0)</f>
        <v>0</v>
      </c>
      <c r="R51" s="74">
        <f>J51-L51</f>
        <v>-150000</v>
      </c>
      <c r="S51" s="18"/>
      <c r="T51" s="18"/>
      <c r="U51" s="3"/>
      <c r="V51" s="19"/>
      <c r="W51" s="11"/>
      <c r="X51" s="11"/>
      <c r="Y51" s="11"/>
      <c r="Z51" s="9"/>
      <c r="AA51" s="3"/>
      <c r="AB51" s="3"/>
      <c r="AC51" s="6"/>
      <c r="AD51" s="3"/>
      <c r="AE51" s="3"/>
    </row>
    <row r="52" spans="1:31" outlineLevel="1" x14ac:dyDescent="0.3">
      <c r="A52" s="76" t="str">
        <f t="shared" si="0"/>
        <v>Строительство</v>
      </c>
      <c r="B52" s="76" t="str">
        <f t="shared" si="0"/>
        <v>исп.</v>
      </c>
      <c r="C52" s="76" t="s">
        <v>35</v>
      </c>
      <c r="D52" s="76" t="s">
        <v>107</v>
      </c>
      <c r="E52" s="92" t="str">
        <f t="shared" ref="E52:E59" si="22">E51</f>
        <v>ТКП №3</v>
      </c>
      <c r="F52" s="7" t="s">
        <v>39</v>
      </c>
      <c r="G52" s="8">
        <v>42825</v>
      </c>
      <c r="H52" s="8">
        <v>42829</v>
      </c>
      <c r="I52" s="23" t="s">
        <v>19</v>
      </c>
      <c r="J52" s="23"/>
      <c r="K52" s="24"/>
      <c r="L52" s="24">
        <v>1000000</v>
      </c>
      <c r="M52" s="24">
        <v>500000</v>
      </c>
      <c r="N52" s="85">
        <v>1</v>
      </c>
      <c r="O52" s="41">
        <v>0.2</v>
      </c>
      <c r="P52" s="8">
        <f>P51</f>
        <v>42825</v>
      </c>
      <c r="Q52" s="42">
        <f>G52-P52</f>
        <v>0</v>
      </c>
      <c r="R52" s="24"/>
      <c r="S52" s="8"/>
      <c r="T52" s="8"/>
      <c r="U52" s="24"/>
      <c r="V52" s="43"/>
      <c r="W52" s="7"/>
      <c r="X52" s="7"/>
      <c r="Y52" s="7"/>
      <c r="Z52" s="24">
        <f>Z53</f>
        <v>400000</v>
      </c>
      <c r="AA52" s="78">
        <f>AA55+AA56</f>
        <v>500000</v>
      </c>
      <c r="AB52" s="78">
        <f t="shared" ref="AB52:AD52" si="23">AB55+AB56</f>
        <v>0</v>
      </c>
      <c r="AC52" s="78">
        <f t="shared" si="23"/>
        <v>0</v>
      </c>
      <c r="AD52" s="78">
        <f t="shared" si="23"/>
        <v>0</v>
      </c>
      <c r="AE52" s="78"/>
    </row>
    <row r="53" spans="1:31" outlineLevel="1" x14ac:dyDescent="0.3">
      <c r="A53" s="76" t="str">
        <f t="shared" si="0"/>
        <v>Строительство</v>
      </c>
      <c r="B53" s="76" t="str">
        <f t="shared" si="0"/>
        <v>исп.</v>
      </c>
      <c r="C53" s="76" t="s">
        <v>35</v>
      </c>
      <c r="D53" s="76" t="s">
        <v>107</v>
      </c>
      <c r="E53" s="92" t="str">
        <f t="shared" si="22"/>
        <v>ТКП №3</v>
      </c>
      <c r="F53" s="92" t="str">
        <f t="shared" ref="F53:G56" si="24">F52</f>
        <v>АКТ №3</v>
      </c>
      <c r="G53" s="93">
        <f t="shared" si="24"/>
        <v>42825</v>
      </c>
      <c r="H53" s="18"/>
      <c r="I53" s="15"/>
      <c r="J53" s="15"/>
      <c r="K53" s="9"/>
      <c r="L53" s="9"/>
      <c r="M53" s="9"/>
      <c r="N53" s="84"/>
      <c r="O53" s="17"/>
      <c r="P53" s="18"/>
      <c r="Q53" s="12"/>
      <c r="R53" s="3"/>
      <c r="S53" s="18"/>
      <c r="T53" s="18"/>
      <c r="U53" s="3"/>
      <c r="V53" s="19"/>
      <c r="W53" s="48" t="s">
        <v>64</v>
      </c>
      <c r="X53" s="48" t="s">
        <v>152</v>
      </c>
      <c r="Y53" s="49">
        <v>42785</v>
      </c>
      <c r="Z53" s="50">
        <v>400000</v>
      </c>
      <c r="AA53" s="6"/>
      <c r="AB53" s="3"/>
      <c r="AC53" s="6">
        <f>IF(AND($W53&gt;0,$AA53&gt;0,OR($S53=D$3,$S53&lt;D$3)),$AA53,0)</f>
        <v>0</v>
      </c>
      <c r="AD53" s="3"/>
      <c r="AE53" s="3"/>
    </row>
    <row r="54" spans="1:31" outlineLevel="1" x14ac:dyDescent="0.3">
      <c r="A54" s="76" t="str">
        <f t="shared" si="0"/>
        <v>Строительство</v>
      </c>
      <c r="B54" s="76" t="str">
        <f t="shared" si="0"/>
        <v>исп.</v>
      </c>
      <c r="C54" s="76" t="s">
        <v>35</v>
      </c>
      <c r="D54" s="76" t="s">
        <v>107</v>
      </c>
      <c r="E54" s="92" t="str">
        <f t="shared" si="22"/>
        <v>ТКП №3</v>
      </c>
      <c r="F54" s="92" t="str">
        <f t="shared" si="24"/>
        <v>АКТ №3</v>
      </c>
      <c r="G54" s="93">
        <f t="shared" si="24"/>
        <v>42825</v>
      </c>
      <c r="H54" s="18"/>
      <c r="I54" s="15"/>
      <c r="J54" s="9"/>
      <c r="K54" s="9"/>
      <c r="L54" s="9"/>
      <c r="M54" s="9"/>
      <c r="N54" s="84"/>
      <c r="O54" s="17"/>
      <c r="P54" s="18"/>
      <c r="Q54" s="12"/>
      <c r="R54" s="3"/>
      <c r="S54" s="18"/>
      <c r="T54" s="56" t="s">
        <v>62</v>
      </c>
      <c r="U54" s="3"/>
      <c r="V54" s="19"/>
      <c r="W54" s="48"/>
      <c r="X54" s="48"/>
      <c r="Y54" s="49"/>
      <c r="Z54" s="50">
        <f>M52-Z53</f>
        <v>100000</v>
      </c>
      <c r="AA54" s="3"/>
      <c r="AB54" s="3">
        <f t="shared" si="18"/>
        <v>0</v>
      </c>
      <c r="AC54" s="6">
        <f>IF(AND($W54&gt;0,$AA54&gt;0,OR($S54=D$3,$S54&lt;D$3)),$AA54,0)</f>
        <v>0</v>
      </c>
      <c r="AD54" s="3"/>
      <c r="AE54" s="3"/>
    </row>
    <row r="55" spans="1:31" outlineLevel="1" x14ac:dyDescent="0.3">
      <c r="A55" s="76" t="str">
        <f t="shared" si="0"/>
        <v>Строительство</v>
      </c>
      <c r="B55" s="76" t="str">
        <f t="shared" si="0"/>
        <v>исп.</v>
      </c>
      <c r="C55" s="76" t="s">
        <v>35</v>
      </c>
      <c r="D55" s="76" t="s">
        <v>107</v>
      </c>
      <c r="E55" s="92" t="str">
        <f t="shared" si="22"/>
        <v>ТКП №3</v>
      </c>
      <c r="F55" s="92" t="str">
        <f t="shared" si="24"/>
        <v>АКТ №3</v>
      </c>
      <c r="G55" s="93">
        <f t="shared" si="24"/>
        <v>42825</v>
      </c>
      <c r="H55" s="18"/>
      <c r="I55" s="15"/>
      <c r="J55" s="9"/>
      <c r="K55" s="9"/>
      <c r="L55" s="9"/>
      <c r="M55" s="9"/>
      <c r="N55" s="84"/>
      <c r="O55" s="17"/>
      <c r="P55" s="18"/>
      <c r="Q55" s="12"/>
      <c r="R55" s="3"/>
      <c r="S55" s="18">
        <f>IF(H52&gt;0,H52+11,G52+11)</f>
        <v>42840</v>
      </c>
      <c r="T55" s="18" t="s">
        <v>29</v>
      </c>
      <c r="U55" s="3">
        <f>0.4*(L52-M52)</f>
        <v>200000</v>
      </c>
      <c r="V55" s="19">
        <f>IF(Y55&gt;0,Y55-S55,$D$3-S55)</f>
        <v>-1</v>
      </c>
      <c r="W55" s="11" t="s">
        <v>44</v>
      </c>
      <c r="X55" s="11"/>
      <c r="Y55" s="11"/>
      <c r="Z55" s="9">
        <f>U55</f>
        <v>200000</v>
      </c>
      <c r="AA55" s="3">
        <f>IF(Y55&gt;0,0,Z55)</f>
        <v>200000</v>
      </c>
      <c r="AB55" s="3">
        <f t="shared" si="18"/>
        <v>0</v>
      </c>
      <c r="AC55" s="6">
        <f>IF(AND($W55&gt;0,$AA55&gt;0,OR($S55=D$3,$S55&lt;D$3)),$AA55,0)</f>
        <v>0</v>
      </c>
      <c r="AD55" s="3"/>
      <c r="AE55" s="3"/>
    </row>
    <row r="56" spans="1:31" outlineLevel="1" x14ac:dyDescent="0.3">
      <c r="A56" s="76" t="str">
        <f t="shared" si="0"/>
        <v>Строительство</v>
      </c>
      <c r="B56" s="76" t="str">
        <f t="shared" si="0"/>
        <v>исп.</v>
      </c>
      <c r="C56" s="76" t="s">
        <v>35</v>
      </c>
      <c r="D56" s="76" t="s">
        <v>107</v>
      </c>
      <c r="E56" s="92" t="str">
        <f t="shared" si="22"/>
        <v>ТКП №3</v>
      </c>
      <c r="F56" s="92" t="str">
        <f t="shared" si="24"/>
        <v>АКТ №3</v>
      </c>
      <c r="G56" s="93">
        <f t="shared" si="24"/>
        <v>42825</v>
      </c>
      <c r="H56" s="18"/>
      <c r="I56" s="15"/>
      <c r="J56" s="9"/>
      <c r="K56" s="9"/>
      <c r="L56" s="9"/>
      <c r="M56" s="9"/>
      <c r="N56" s="84"/>
      <c r="O56" s="17"/>
      <c r="P56" s="18"/>
      <c r="Q56" s="12"/>
      <c r="R56" s="3"/>
      <c r="S56" s="18">
        <f>IF(H52&gt;0,H52+31,G52+31)</f>
        <v>42860</v>
      </c>
      <c r="T56" s="18" t="s">
        <v>30</v>
      </c>
      <c r="U56" s="3">
        <f>0.6*(L52-M52)</f>
        <v>300000</v>
      </c>
      <c r="V56" s="19">
        <f>IF(Y56&gt;0,Y56-S56,$D$3-S56)</f>
        <v>-21</v>
      </c>
      <c r="W56" s="11" t="s">
        <v>44</v>
      </c>
      <c r="X56" s="11"/>
      <c r="Y56" s="11"/>
      <c r="Z56" s="9">
        <f>U56</f>
        <v>300000</v>
      </c>
      <c r="AA56" s="3">
        <f>IF(Y56&gt;0,0,Z56)</f>
        <v>300000</v>
      </c>
      <c r="AB56" s="3">
        <f t="shared" si="18"/>
        <v>0</v>
      </c>
      <c r="AC56" s="6">
        <f>IF(AND($W56&gt;0,$AA56&gt;0,OR($S56=D$3,$S56&lt;D$3)),$AA56,0)</f>
        <v>0</v>
      </c>
      <c r="AD56" s="3"/>
      <c r="AE56" s="3"/>
    </row>
    <row r="57" spans="1:31" outlineLevel="1" x14ac:dyDescent="0.3">
      <c r="A57" s="76" t="str">
        <f t="shared" si="0"/>
        <v>Строительство</v>
      </c>
      <c r="B57" s="76" t="str">
        <f t="shared" si="0"/>
        <v>исп.</v>
      </c>
      <c r="C57" s="76" t="s">
        <v>35</v>
      </c>
      <c r="D57" s="76" t="s">
        <v>107</v>
      </c>
      <c r="E57" s="92" t="str">
        <f t="shared" si="22"/>
        <v>ТКП №3</v>
      </c>
      <c r="F57" s="7" t="s">
        <v>50</v>
      </c>
      <c r="G57" s="8">
        <v>42825</v>
      </c>
      <c r="H57" s="8"/>
      <c r="I57" s="23" t="s">
        <v>19</v>
      </c>
      <c r="J57" s="23"/>
      <c r="K57" s="24"/>
      <c r="L57" s="24">
        <v>150000</v>
      </c>
      <c r="M57" s="24"/>
      <c r="N57" s="85">
        <v>1</v>
      </c>
      <c r="O57" s="41">
        <v>0.2</v>
      </c>
      <c r="P57" s="8">
        <f>P51</f>
        <v>42825</v>
      </c>
      <c r="Q57" s="42">
        <f>G57-P57</f>
        <v>0</v>
      </c>
      <c r="R57" s="24"/>
      <c r="S57" s="8"/>
      <c r="T57" s="8"/>
      <c r="U57" s="24"/>
      <c r="V57" s="43"/>
      <c r="W57" s="7"/>
      <c r="X57" s="7"/>
      <c r="Y57" s="7"/>
      <c r="Z57" s="24">
        <v>0</v>
      </c>
      <c r="AA57" s="78">
        <f>AA58+AA59</f>
        <v>150000</v>
      </c>
      <c r="AB57" s="78">
        <f t="shared" ref="AB57:AD57" si="25">AB58+AB59</f>
        <v>0</v>
      </c>
      <c r="AC57" s="78">
        <f t="shared" si="25"/>
        <v>60000</v>
      </c>
      <c r="AD57" s="78">
        <f t="shared" si="25"/>
        <v>0</v>
      </c>
      <c r="AE57" s="78"/>
    </row>
    <row r="58" spans="1:31" outlineLevel="1" x14ac:dyDescent="0.3">
      <c r="A58" s="76" t="str">
        <f t="shared" si="0"/>
        <v>Строительство</v>
      </c>
      <c r="B58" s="76" t="str">
        <f t="shared" si="0"/>
        <v>исп.</v>
      </c>
      <c r="C58" s="76" t="s">
        <v>35</v>
      </c>
      <c r="D58" s="76" t="s">
        <v>107</v>
      </c>
      <c r="E58" s="92" t="str">
        <f t="shared" si="22"/>
        <v>ТКП №3</v>
      </c>
      <c r="F58" s="92" t="str">
        <f>F57</f>
        <v>ТТН №28818</v>
      </c>
      <c r="G58" s="93">
        <f>G57</f>
        <v>42825</v>
      </c>
      <c r="H58" s="18"/>
      <c r="I58" s="15"/>
      <c r="J58" s="9"/>
      <c r="K58" s="9"/>
      <c r="L58" s="9"/>
      <c r="M58" s="9"/>
      <c r="N58" s="84"/>
      <c r="O58" s="17"/>
      <c r="P58" s="18"/>
      <c r="Q58" s="12"/>
      <c r="R58" s="3"/>
      <c r="S58" s="18">
        <f>IF(H57&gt;0,H57+11,G57+11)</f>
        <v>42836</v>
      </c>
      <c r="T58" s="18" t="s">
        <v>29</v>
      </c>
      <c r="U58" s="3">
        <f>0.4*(L57-M57)</f>
        <v>60000</v>
      </c>
      <c r="V58" s="19">
        <f>IF(Y58&gt;0,Y58-S58,$D$3-S58)</f>
        <v>3</v>
      </c>
      <c r="W58" s="11" t="s">
        <v>44</v>
      </c>
      <c r="X58" s="11"/>
      <c r="Y58" s="11"/>
      <c r="Z58" s="9">
        <f>U58</f>
        <v>60000</v>
      </c>
      <c r="AA58" s="3">
        <f>IF(Y58&gt;0,0,Z58)</f>
        <v>60000</v>
      </c>
      <c r="AB58" s="3">
        <f t="shared" si="18"/>
        <v>0</v>
      </c>
      <c r="AC58" s="6">
        <f>IF(AND($W58&gt;0,$AA58&gt;0,OR($S58=D$3,$S58&lt;D$3)),$AA58,0)</f>
        <v>60000</v>
      </c>
      <c r="AD58" s="3"/>
      <c r="AE58" s="3"/>
    </row>
    <row r="59" spans="1:31" outlineLevel="1" x14ac:dyDescent="0.3">
      <c r="A59" s="76" t="str">
        <f t="shared" si="0"/>
        <v>Строительство</v>
      </c>
      <c r="B59" s="76" t="str">
        <f t="shared" si="0"/>
        <v>исп.</v>
      </c>
      <c r="C59" s="76" t="s">
        <v>35</v>
      </c>
      <c r="D59" s="76" t="s">
        <v>107</v>
      </c>
      <c r="E59" s="92" t="str">
        <f t="shared" si="22"/>
        <v>ТКП №3</v>
      </c>
      <c r="F59" s="92" t="str">
        <f>F58</f>
        <v>ТТН №28818</v>
      </c>
      <c r="G59" s="93">
        <f>G58</f>
        <v>42825</v>
      </c>
      <c r="H59" s="18"/>
      <c r="I59" s="15"/>
      <c r="J59" s="9"/>
      <c r="K59" s="9"/>
      <c r="L59" s="9"/>
      <c r="M59" s="9"/>
      <c r="N59" s="84"/>
      <c r="O59" s="17"/>
      <c r="P59" s="18"/>
      <c r="Q59" s="12"/>
      <c r="R59" s="3"/>
      <c r="S59" s="18">
        <f>IF(H57&gt;0,H57+31,G57+31)</f>
        <v>42856</v>
      </c>
      <c r="T59" s="18" t="s">
        <v>30</v>
      </c>
      <c r="U59" s="3">
        <f>0.6*(L57-M57)</f>
        <v>90000</v>
      </c>
      <c r="V59" s="19">
        <f>IF(Y59&gt;0,Y59-S59,$D$3-S59)</f>
        <v>-17</v>
      </c>
      <c r="W59" s="11" t="s">
        <v>44</v>
      </c>
      <c r="X59" s="11"/>
      <c r="Y59" s="11"/>
      <c r="Z59" s="9">
        <f>U59</f>
        <v>90000</v>
      </c>
      <c r="AA59" s="3">
        <f>IF(Y59&gt;0,0,Z59)</f>
        <v>90000</v>
      </c>
      <c r="AB59" s="3">
        <f t="shared" si="18"/>
        <v>0</v>
      </c>
      <c r="AC59" s="6">
        <f>IF(AND($W59&gt;0,$AA59&gt;0,OR($S59=D$3,$S59&lt;D$3)),$AA59,0)</f>
        <v>0</v>
      </c>
      <c r="AD59" s="3"/>
      <c r="AE59" s="3"/>
    </row>
    <row r="60" spans="1:31" outlineLevel="1" x14ac:dyDescent="0.3">
      <c r="A60" s="76" t="str">
        <f t="shared" si="0"/>
        <v>Строительство</v>
      </c>
      <c r="B60" s="76" t="str">
        <f t="shared" si="0"/>
        <v>исп.</v>
      </c>
      <c r="C60" s="76" t="s">
        <v>35</v>
      </c>
      <c r="D60" s="76" t="s">
        <v>107</v>
      </c>
      <c r="E60" s="11" t="s">
        <v>14</v>
      </c>
      <c r="F60" s="11"/>
      <c r="G60" s="18">
        <v>42756</v>
      </c>
      <c r="H60" s="18"/>
      <c r="I60" s="15" t="s">
        <v>19</v>
      </c>
      <c r="J60" s="9">
        <v>2000000</v>
      </c>
      <c r="K60" s="9"/>
      <c r="L60" s="9"/>
      <c r="M60" s="9"/>
      <c r="N60" s="84"/>
      <c r="O60" s="17"/>
      <c r="P60" s="18">
        <v>42855</v>
      </c>
      <c r="Q60" s="12">
        <f>IF(R60&gt;0,$D$3-P60,0)</f>
        <v>-16</v>
      </c>
      <c r="R60" s="3">
        <f>J60-L60</f>
        <v>2000000</v>
      </c>
      <c r="S60" s="18"/>
      <c r="T60" s="18"/>
      <c r="U60" s="3"/>
      <c r="V60" s="19"/>
      <c r="W60" s="11"/>
      <c r="X60" s="11"/>
      <c r="Y60" s="11"/>
      <c r="Z60" s="9"/>
      <c r="AA60" s="3"/>
      <c r="AB60" s="3"/>
      <c r="AC60" s="6"/>
      <c r="AD60" s="3"/>
      <c r="AE60" s="3"/>
    </row>
    <row r="61" spans="1:31" outlineLevel="1" x14ac:dyDescent="0.3">
      <c r="A61" s="76" t="str">
        <f t="shared" si="0"/>
        <v>Строительство</v>
      </c>
      <c r="B61" s="76" t="str">
        <f t="shared" si="0"/>
        <v>исп.</v>
      </c>
      <c r="C61" s="76" t="s">
        <v>35</v>
      </c>
      <c r="D61" s="76" t="s">
        <v>107</v>
      </c>
      <c r="E61" s="11" t="s">
        <v>57</v>
      </c>
      <c r="F61" s="11"/>
      <c r="G61" s="18">
        <v>42756</v>
      </c>
      <c r="H61" s="18"/>
      <c r="I61" s="15" t="s">
        <v>19</v>
      </c>
      <c r="J61" s="9"/>
      <c r="K61" s="9"/>
      <c r="L61" s="9"/>
      <c r="M61" s="9"/>
      <c r="N61" s="84"/>
      <c r="O61" s="17"/>
      <c r="P61" s="18"/>
      <c r="Q61" s="12"/>
      <c r="R61" s="3"/>
      <c r="S61" s="18">
        <v>42755</v>
      </c>
      <c r="T61" s="18" t="s">
        <v>49</v>
      </c>
      <c r="U61" s="3">
        <f>J41*0.5</f>
        <v>500000</v>
      </c>
      <c r="V61" s="19">
        <f t="shared" ref="V61:V66" si="26">IF(Y61&gt;0,Y61-S61,$D$3-S61)</f>
        <v>-1</v>
      </c>
      <c r="W61" s="11" t="s">
        <v>63</v>
      </c>
      <c r="X61" s="11" t="s">
        <v>152</v>
      </c>
      <c r="Y61" s="18">
        <v>42754</v>
      </c>
      <c r="Z61" s="9">
        <v>500000</v>
      </c>
      <c r="AA61" s="3">
        <f t="shared" ref="AA61:AA66" si="27">IF(Y61&gt;0,0,Z61)</f>
        <v>0</v>
      </c>
      <c r="AB61" s="3">
        <f t="shared" ref="AB61:AB67" si="28">IF(AND(T61="аванс",AA61&gt;0),AA61,0)</f>
        <v>0</v>
      </c>
      <c r="AC61" s="6">
        <f t="shared" ref="AC61:AC68" si="29">IF(AND($W61&gt;0,$AA61&gt;0,OR($S61=D$3,$S61&lt;D$3)),$AA61,0)</f>
        <v>0</v>
      </c>
      <c r="AD61" s="3"/>
      <c r="AE61" s="3"/>
    </row>
    <row r="62" spans="1:31" outlineLevel="1" x14ac:dyDescent="0.3">
      <c r="A62" s="76" t="str">
        <f t="shared" si="0"/>
        <v>Строительство</v>
      </c>
      <c r="B62" s="76" t="str">
        <f t="shared" si="0"/>
        <v>исп.</v>
      </c>
      <c r="C62" s="76" t="s">
        <v>35</v>
      </c>
      <c r="D62" s="76" t="s">
        <v>107</v>
      </c>
      <c r="E62" s="11" t="s">
        <v>58</v>
      </c>
      <c r="F62" s="11"/>
      <c r="G62" s="18">
        <v>42756</v>
      </c>
      <c r="H62" s="18"/>
      <c r="I62" s="15" t="s">
        <v>19</v>
      </c>
      <c r="J62" s="9"/>
      <c r="K62" s="9"/>
      <c r="L62" s="9"/>
      <c r="M62" s="9"/>
      <c r="N62" s="84"/>
      <c r="O62" s="17"/>
      <c r="P62" s="18"/>
      <c r="Q62" s="12"/>
      <c r="R62" s="3"/>
      <c r="S62" s="18">
        <v>42786</v>
      </c>
      <c r="T62" s="18" t="s">
        <v>49</v>
      </c>
      <c r="U62" s="3">
        <f>J46*0.5</f>
        <v>500000</v>
      </c>
      <c r="V62" s="19">
        <f t="shared" si="26"/>
        <v>-1</v>
      </c>
      <c r="W62" s="11" t="s">
        <v>64</v>
      </c>
      <c r="X62" s="11" t="s">
        <v>152</v>
      </c>
      <c r="Y62" s="18">
        <v>42785</v>
      </c>
      <c r="Z62" s="9">
        <v>400000</v>
      </c>
      <c r="AA62" s="3">
        <f t="shared" si="27"/>
        <v>0</v>
      </c>
      <c r="AB62" s="3">
        <f t="shared" si="28"/>
        <v>0</v>
      </c>
      <c r="AC62" s="6">
        <f t="shared" si="29"/>
        <v>0</v>
      </c>
      <c r="AD62" s="3"/>
      <c r="AE62" s="3"/>
    </row>
    <row r="63" spans="1:31" outlineLevel="1" x14ac:dyDescent="0.3">
      <c r="A63" s="76" t="str">
        <f t="shared" si="0"/>
        <v>Строительство</v>
      </c>
      <c r="B63" s="76" t="str">
        <f t="shared" si="0"/>
        <v>исп.</v>
      </c>
      <c r="C63" s="76" t="s">
        <v>35</v>
      </c>
      <c r="D63" s="76" t="s">
        <v>107</v>
      </c>
      <c r="E63" s="92" t="str">
        <f>E62</f>
        <v>авансовый ФКП №2</v>
      </c>
      <c r="F63" s="11"/>
      <c r="G63" s="18"/>
      <c r="H63" s="18"/>
      <c r="I63" s="15"/>
      <c r="J63" s="9"/>
      <c r="K63" s="9"/>
      <c r="L63" s="9"/>
      <c r="M63" s="9"/>
      <c r="N63" s="84"/>
      <c r="O63" s="17"/>
      <c r="P63" s="18"/>
      <c r="Q63" s="12"/>
      <c r="R63" s="3"/>
      <c r="S63" s="18">
        <f>S62</f>
        <v>42786</v>
      </c>
      <c r="T63" s="18" t="s">
        <v>49</v>
      </c>
      <c r="U63" s="3"/>
      <c r="V63" s="19">
        <f t="shared" si="26"/>
        <v>27</v>
      </c>
      <c r="W63" s="11" t="s">
        <v>65</v>
      </c>
      <c r="X63" s="11" t="s">
        <v>152</v>
      </c>
      <c r="Y63" s="18">
        <v>42813</v>
      </c>
      <c r="Z63" s="9">
        <f>U62-Z62</f>
        <v>100000</v>
      </c>
      <c r="AA63" s="3">
        <f t="shared" si="27"/>
        <v>0</v>
      </c>
      <c r="AB63" s="3">
        <f t="shared" si="28"/>
        <v>0</v>
      </c>
      <c r="AC63" s="6">
        <f t="shared" si="29"/>
        <v>0</v>
      </c>
      <c r="AD63" s="3"/>
      <c r="AE63" s="3"/>
    </row>
    <row r="64" spans="1:31" outlineLevel="1" x14ac:dyDescent="0.3">
      <c r="A64" s="76" t="str">
        <f t="shared" si="0"/>
        <v>Строительство</v>
      </c>
      <c r="B64" s="76" t="str">
        <f t="shared" si="0"/>
        <v>исп.</v>
      </c>
      <c r="C64" s="76" t="s">
        <v>35</v>
      </c>
      <c r="D64" s="76" t="s">
        <v>107</v>
      </c>
      <c r="E64" s="11" t="s">
        <v>59</v>
      </c>
      <c r="F64" s="11"/>
      <c r="G64" s="18"/>
      <c r="H64" s="18"/>
      <c r="I64" s="15"/>
      <c r="J64" s="9"/>
      <c r="K64" s="9"/>
      <c r="L64" s="9"/>
      <c r="M64" s="9"/>
      <c r="N64" s="84"/>
      <c r="O64" s="17"/>
      <c r="P64" s="18"/>
      <c r="Q64" s="12"/>
      <c r="R64" s="3"/>
      <c r="S64" s="18">
        <v>42814</v>
      </c>
      <c r="T64" s="18" t="s">
        <v>49</v>
      </c>
      <c r="U64" s="3">
        <f>J51*0.5</f>
        <v>500000</v>
      </c>
      <c r="V64" s="19">
        <f t="shared" si="26"/>
        <v>-1</v>
      </c>
      <c r="W64" s="11" t="s">
        <v>65</v>
      </c>
      <c r="X64" s="11" t="s">
        <v>152</v>
      </c>
      <c r="Y64" s="18">
        <v>42813</v>
      </c>
      <c r="Z64" s="9">
        <v>500000</v>
      </c>
      <c r="AA64" s="3">
        <f t="shared" si="27"/>
        <v>0</v>
      </c>
      <c r="AB64" s="3">
        <f t="shared" si="28"/>
        <v>0</v>
      </c>
      <c r="AC64" s="6">
        <f t="shared" si="29"/>
        <v>0</v>
      </c>
      <c r="AD64" s="3"/>
      <c r="AE64" s="3"/>
    </row>
    <row r="65" spans="1:31" outlineLevel="1" x14ac:dyDescent="0.3">
      <c r="A65" s="76" t="str">
        <f t="shared" si="0"/>
        <v>Строительство</v>
      </c>
      <c r="B65" s="76" t="str">
        <f t="shared" si="0"/>
        <v>исп.</v>
      </c>
      <c r="C65" s="76" t="s">
        <v>35</v>
      </c>
      <c r="D65" s="76" t="s">
        <v>107</v>
      </c>
      <c r="E65" s="11" t="s">
        <v>60</v>
      </c>
      <c r="F65" s="11"/>
      <c r="G65" s="18">
        <v>42756</v>
      </c>
      <c r="H65" s="18"/>
      <c r="I65" s="15" t="s">
        <v>19</v>
      </c>
      <c r="J65" s="9"/>
      <c r="K65" s="9"/>
      <c r="L65" s="9"/>
      <c r="M65" s="9"/>
      <c r="N65" s="84"/>
      <c r="O65" s="17"/>
      <c r="P65" s="18"/>
      <c r="Q65" s="12"/>
      <c r="R65" s="3"/>
      <c r="S65" s="18">
        <v>42845</v>
      </c>
      <c r="T65" s="18" t="s">
        <v>49</v>
      </c>
      <c r="U65" s="3">
        <f>J60*0.5</f>
        <v>1000000</v>
      </c>
      <c r="V65" s="19">
        <f t="shared" si="26"/>
        <v>-16</v>
      </c>
      <c r="W65" s="11" t="s">
        <v>66</v>
      </c>
      <c r="X65" s="11" t="s">
        <v>152</v>
      </c>
      <c r="Y65" s="18">
        <v>42829</v>
      </c>
      <c r="Z65" s="9">
        <v>500000</v>
      </c>
      <c r="AA65" s="3">
        <f t="shared" si="27"/>
        <v>0</v>
      </c>
      <c r="AB65" s="3">
        <f t="shared" si="28"/>
        <v>0</v>
      </c>
      <c r="AC65" s="6">
        <f t="shared" si="29"/>
        <v>0</v>
      </c>
      <c r="AD65" s="3"/>
      <c r="AE65" s="3"/>
    </row>
    <row r="66" spans="1:31" outlineLevel="1" x14ac:dyDescent="0.3">
      <c r="A66" s="76" t="str">
        <f t="shared" si="0"/>
        <v>Строительство</v>
      </c>
      <c r="B66" s="76" t="str">
        <f t="shared" si="0"/>
        <v>исп.</v>
      </c>
      <c r="C66" s="76" t="s">
        <v>35</v>
      </c>
      <c r="D66" s="76" t="s">
        <v>107</v>
      </c>
      <c r="E66" s="11"/>
      <c r="F66" s="11"/>
      <c r="G66" s="18"/>
      <c r="H66" s="18"/>
      <c r="I66" s="15"/>
      <c r="J66" s="9"/>
      <c r="K66" s="9"/>
      <c r="L66" s="9"/>
      <c r="M66" s="9"/>
      <c r="N66" s="84"/>
      <c r="O66" s="17"/>
      <c r="P66" s="18"/>
      <c r="Q66" s="12"/>
      <c r="R66" s="3"/>
      <c r="S66" s="18">
        <f>S65</f>
        <v>42845</v>
      </c>
      <c r="T66" s="18" t="s">
        <v>49</v>
      </c>
      <c r="U66" s="3"/>
      <c r="V66" s="19">
        <f t="shared" si="26"/>
        <v>-6</v>
      </c>
      <c r="W66" s="11" t="s">
        <v>44</v>
      </c>
      <c r="X66" s="11"/>
      <c r="Y66" s="11"/>
      <c r="Z66" s="9">
        <f>U65-Z65</f>
        <v>500000</v>
      </c>
      <c r="AA66" s="3">
        <f t="shared" si="27"/>
        <v>500000</v>
      </c>
      <c r="AB66" s="3">
        <f t="shared" si="28"/>
        <v>500000</v>
      </c>
      <c r="AC66" s="6">
        <f t="shared" si="29"/>
        <v>0</v>
      </c>
      <c r="AD66" s="3"/>
      <c r="AE66" s="3"/>
    </row>
    <row r="67" spans="1:31" outlineLevel="1" x14ac:dyDescent="0.3">
      <c r="A67" s="76" t="str">
        <f t="shared" si="0"/>
        <v>Строительство</v>
      </c>
      <c r="B67" s="76" t="str">
        <f t="shared" si="0"/>
        <v>исп.</v>
      </c>
      <c r="C67" s="76" t="s">
        <v>35</v>
      </c>
      <c r="D67" s="76" t="s">
        <v>107</v>
      </c>
      <c r="E67" s="11"/>
      <c r="F67" s="11"/>
      <c r="G67" s="18"/>
      <c r="H67" s="18"/>
      <c r="I67" s="15"/>
      <c r="J67" s="9"/>
      <c r="K67" s="9"/>
      <c r="L67" s="9"/>
      <c r="M67" s="9"/>
      <c r="N67" s="84"/>
      <c r="O67" s="17"/>
      <c r="P67" s="18"/>
      <c r="Q67" s="12"/>
      <c r="R67" s="3"/>
      <c r="S67" s="18"/>
      <c r="T67" s="56" t="s">
        <v>61</v>
      </c>
      <c r="U67" s="26"/>
      <c r="V67" s="54"/>
      <c r="W67" s="55" t="s">
        <v>65</v>
      </c>
      <c r="X67" s="55" t="s">
        <v>152</v>
      </c>
      <c r="Y67" s="56">
        <v>42813</v>
      </c>
      <c r="Z67" s="26">
        <f>Z61+Z62+Z63+Z64-Z43-Z48-Z53</f>
        <v>600000</v>
      </c>
      <c r="AA67" s="3">
        <f t="shared" ref="AA67:AA68" si="30">IF(Y67&gt;0,0,Z67)</f>
        <v>0</v>
      </c>
      <c r="AB67" s="3">
        <f t="shared" si="28"/>
        <v>0</v>
      </c>
      <c r="AC67" s="6">
        <f t="shared" si="29"/>
        <v>0</v>
      </c>
      <c r="AD67" s="3"/>
      <c r="AE67" s="3"/>
    </row>
    <row r="68" spans="1:31" outlineLevel="1" x14ac:dyDescent="0.3">
      <c r="A68" s="76" t="str">
        <f t="shared" si="0"/>
        <v>Строительство</v>
      </c>
      <c r="B68" s="76" t="str">
        <f t="shared" si="0"/>
        <v>исп.</v>
      </c>
      <c r="C68" s="76" t="s">
        <v>35</v>
      </c>
      <c r="D68" s="76" t="s">
        <v>107</v>
      </c>
      <c r="E68" s="11"/>
      <c r="F68" s="11"/>
      <c r="G68" s="18"/>
      <c r="H68" s="18"/>
      <c r="I68" s="15"/>
      <c r="J68" s="9"/>
      <c r="K68" s="9"/>
      <c r="L68" s="9"/>
      <c r="M68" s="9"/>
      <c r="N68" s="84"/>
      <c r="O68" s="17"/>
      <c r="P68" s="18"/>
      <c r="Q68" s="12"/>
      <c r="R68" s="3"/>
      <c r="S68" s="18"/>
      <c r="T68" s="56"/>
      <c r="U68" s="26"/>
      <c r="V68" s="54"/>
      <c r="W68" s="55" t="s">
        <v>66</v>
      </c>
      <c r="X68" s="55" t="s">
        <v>152</v>
      </c>
      <c r="Y68" s="56">
        <v>42829</v>
      </c>
      <c r="Z68" s="26">
        <v>500000</v>
      </c>
      <c r="AA68" s="3">
        <f t="shared" si="30"/>
        <v>0</v>
      </c>
      <c r="AB68" s="3">
        <f t="shared" ref="AB68" si="31">IF(AND(T68="аванс",AA68&gt;0),AA68,0)</f>
        <v>0</v>
      </c>
      <c r="AC68" s="6">
        <f t="shared" si="29"/>
        <v>0</v>
      </c>
      <c r="AD68" s="3"/>
      <c r="AE68" s="3"/>
    </row>
    <row r="69" spans="1:31" x14ac:dyDescent="0.3">
      <c r="A69" s="65" t="s">
        <v>3</v>
      </c>
      <c r="B69" s="66"/>
      <c r="C69" s="66"/>
      <c r="D69" s="66"/>
      <c r="E69" s="66"/>
      <c r="F69" s="66"/>
      <c r="G69" s="66"/>
      <c r="H69" s="66"/>
      <c r="I69" s="66"/>
      <c r="J69" s="67">
        <f>J70+J90+J105</f>
        <v>15000000</v>
      </c>
      <c r="K69" s="67">
        <f>K70+K90+K105</f>
        <v>0</v>
      </c>
      <c r="L69" s="67">
        <f>L70+L90+L105</f>
        <v>5500000</v>
      </c>
      <c r="M69" s="67">
        <f>M70</f>
        <v>0</v>
      </c>
      <c r="N69" s="86"/>
      <c r="O69" s="66"/>
      <c r="P69" s="97"/>
      <c r="Q69" s="68"/>
      <c r="R69" s="67">
        <f>R70+R90+R105</f>
        <v>9500000</v>
      </c>
      <c r="S69" s="97"/>
      <c r="T69" s="66"/>
      <c r="U69" s="66"/>
      <c r="V69" s="66"/>
      <c r="W69" s="66"/>
      <c r="X69" s="66"/>
      <c r="Y69" s="66"/>
      <c r="Z69" s="67">
        <f>Z70+Z90+Z105</f>
        <v>3900000</v>
      </c>
      <c r="AA69" s="67">
        <f>AA70+AA90+AA105</f>
        <v>4080000</v>
      </c>
      <c r="AB69" s="67">
        <f>AB70+AB90+AB105</f>
        <v>1000000</v>
      </c>
      <c r="AC69" s="67">
        <f>AC70+AC90+AC105</f>
        <v>4080000</v>
      </c>
      <c r="AD69" s="66"/>
      <c r="AE69" s="66"/>
    </row>
    <row r="70" spans="1:31" x14ac:dyDescent="0.3">
      <c r="A70" s="76" t="str">
        <f>A69</f>
        <v>Закупка</v>
      </c>
      <c r="B70" s="1"/>
      <c r="C70" s="4" t="s">
        <v>53</v>
      </c>
      <c r="D70" s="4"/>
      <c r="E70" s="4"/>
      <c r="F70" s="4"/>
      <c r="G70" s="1"/>
      <c r="H70" s="1"/>
      <c r="I70" s="1"/>
      <c r="J70" s="6">
        <f>J71</f>
        <v>5000000</v>
      </c>
      <c r="K70" s="9">
        <v>0</v>
      </c>
      <c r="L70" s="20">
        <f>L71</f>
        <v>2000000</v>
      </c>
      <c r="M70" s="20">
        <f>M71</f>
        <v>0</v>
      </c>
      <c r="N70" s="83"/>
      <c r="O70" s="1"/>
      <c r="P70" s="2"/>
      <c r="Q70" s="12"/>
      <c r="R70" s="6">
        <f>R71</f>
        <v>3000000</v>
      </c>
      <c r="S70" s="2"/>
      <c r="T70" s="1"/>
      <c r="U70" s="1"/>
      <c r="V70" s="1"/>
      <c r="W70" s="1"/>
      <c r="X70" s="1"/>
      <c r="Y70" s="1"/>
      <c r="Z70" s="6">
        <f>Z71</f>
        <v>800000</v>
      </c>
      <c r="AA70" s="6">
        <f>AA71</f>
        <v>1200000</v>
      </c>
      <c r="AB70" s="6">
        <f t="shared" ref="AB70:AC70" si="32">AB71</f>
        <v>0</v>
      </c>
      <c r="AC70" s="6">
        <f t="shared" si="32"/>
        <v>1200000</v>
      </c>
      <c r="AD70" s="1"/>
      <c r="AE70" s="1"/>
    </row>
    <row r="71" spans="1:31" outlineLevel="1" x14ac:dyDescent="0.3">
      <c r="A71" s="76" t="str">
        <f t="shared" ref="A71:B126" si="33">A70</f>
        <v>Закупка</v>
      </c>
      <c r="B71" s="1" t="s">
        <v>4</v>
      </c>
      <c r="C71" s="76" t="s">
        <v>53</v>
      </c>
      <c r="D71" s="4" t="s">
        <v>54</v>
      </c>
      <c r="E71" s="10"/>
      <c r="F71" s="10"/>
      <c r="G71" s="5">
        <v>42756</v>
      </c>
      <c r="H71" s="5"/>
      <c r="I71" s="5" t="s">
        <v>19</v>
      </c>
      <c r="J71" s="6">
        <v>5000000</v>
      </c>
      <c r="K71" s="9">
        <v>0</v>
      </c>
      <c r="L71" s="20">
        <f>L72+L80+L84+L85</f>
        <v>2000000</v>
      </c>
      <c r="M71" s="20">
        <f>M72+M80+M84+M85</f>
        <v>0</v>
      </c>
      <c r="N71" s="84"/>
      <c r="O71" s="17">
        <v>0.2</v>
      </c>
      <c r="P71" s="36"/>
      <c r="Q71" s="13"/>
      <c r="R71" s="6">
        <f>J71-L71</f>
        <v>3000000</v>
      </c>
      <c r="S71" s="5"/>
      <c r="T71" s="6"/>
      <c r="U71" s="6"/>
      <c r="V71" s="6"/>
      <c r="W71" s="1"/>
      <c r="X71" s="1"/>
      <c r="Y71" s="1"/>
      <c r="Z71" s="20">
        <f>Z74+Z75+Z77+Z78</f>
        <v>800000</v>
      </c>
      <c r="AA71" s="6">
        <f>AA76+AA73+AA81</f>
        <v>1200000</v>
      </c>
      <c r="AB71" s="6">
        <f>AB76+AB73+AB81</f>
        <v>0</v>
      </c>
      <c r="AC71" s="6">
        <f>AC76+AC73+AC81</f>
        <v>1200000</v>
      </c>
      <c r="AD71" s="6" t="s">
        <v>52</v>
      </c>
      <c r="AE71" s="6"/>
    </row>
    <row r="72" spans="1:31" outlineLevel="1" x14ac:dyDescent="0.3">
      <c r="A72" s="76" t="str">
        <f t="shared" si="33"/>
        <v>Закупка</v>
      </c>
      <c r="B72" s="76" t="str">
        <f t="shared" si="33"/>
        <v>исп.</v>
      </c>
      <c r="C72" s="76" t="s">
        <v>53</v>
      </c>
      <c r="D72" s="76" t="s">
        <v>54</v>
      </c>
      <c r="E72" s="11" t="s">
        <v>11</v>
      </c>
      <c r="F72" s="11"/>
      <c r="G72" s="18">
        <v>42756</v>
      </c>
      <c r="H72" s="18"/>
      <c r="I72" s="15" t="s">
        <v>19</v>
      </c>
      <c r="J72" s="9">
        <v>1000000</v>
      </c>
      <c r="K72" s="9">
        <v>0</v>
      </c>
      <c r="L72" s="9">
        <f>L73+L76</f>
        <v>950000</v>
      </c>
      <c r="M72" s="9">
        <f>M73+M76</f>
        <v>0</v>
      </c>
      <c r="N72" s="84"/>
      <c r="O72" s="17"/>
      <c r="P72" s="18">
        <v>42766</v>
      </c>
      <c r="Q72" s="12">
        <f>IF(R72&gt;0,$D$3-P72,0)</f>
        <v>73</v>
      </c>
      <c r="R72" s="9">
        <f>J72-L72</f>
        <v>50000</v>
      </c>
      <c r="S72" s="18"/>
      <c r="T72" s="18"/>
      <c r="U72" s="3"/>
      <c r="V72" s="19"/>
      <c r="W72" s="1"/>
      <c r="X72" s="1"/>
      <c r="Y72" s="1"/>
      <c r="Z72" s="9"/>
      <c r="AA72" s="3"/>
      <c r="AB72" s="3"/>
      <c r="AC72" s="6"/>
      <c r="AD72" s="3"/>
      <c r="AE72" s="3"/>
    </row>
    <row r="73" spans="1:31" outlineLevel="1" x14ac:dyDescent="0.3">
      <c r="A73" s="76" t="str">
        <f t="shared" si="33"/>
        <v>Закупка</v>
      </c>
      <c r="B73" s="76" t="str">
        <f t="shared" si="33"/>
        <v>исп.</v>
      </c>
      <c r="C73" s="76" t="s">
        <v>53</v>
      </c>
      <c r="D73" s="76" t="s">
        <v>54</v>
      </c>
      <c r="E73" s="92" t="str">
        <f>E72</f>
        <v>ТКП №1</v>
      </c>
      <c r="F73" s="7" t="s">
        <v>15</v>
      </c>
      <c r="G73" s="8">
        <v>42745</v>
      </c>
      <c r="H73" s="8"/>
      <c r="I73" s="28" t="s">
        <v>19</v>
      </c>
      <c r="J73" s="28"/>
      <c r="K73" s="29"/>
      <c r="L73" s="29">
        <v>500000</v>
      </c>
      <c r="M73" s="29"/>
      <c r="N73" s="85">
        <v>1</v>
      </c>
      <c r="O73" s="41">
        <v>0.2</v>
      </c>
      <c r="P73" s="8">
        <f>P72</f>
        <v>42766</v>
      </c>
      <c r="Q73" s="42">
        <f>IF(R73&gt;0,$D$3-P73,0)</f>
        <v>0</v>
      </c>
      <c r="R73" s="24"/>
      <c r="S73" s="8"/>
      <c r="T73" s="8"/>
      <c r="U73" s="24"/>
      <c r="V73" s="43"/>
      <c r="W73" s="7"/>
      <c r="X73" s="7"/>
      <c r="Y73" s="7"/>
      <c r="Z73" s="24"/>
      <c r="AA73" s="44">
        <f>AA74+AA75</f>
        <v>0</v>
      </c>
      <c r="AB73" s="44">
        <f t="shared" ref="AB73:AE73" si="34">AB74+AB75</f>
        <v>0</v>
      </c>
      <c r="AC73" s="44">
        <f t="shared" si="34"/>
        <v>0</v>
      </c>
      <c r="AD73" s="44">
        <f t="shared" si="34"/>
        <v>0</v>
      </c>
      <c r="AE73" s="44">
        <f t="shared" si="34"/>
        <v>0</v>
      </c>
    </row>
    <row r="74" spans="1:31" outlineLevel="1" x14ac:dyDescent="0.3">
      <c r="A74" s="76" t="str">
        <f t="shared" si="33"/>
        <v>Закупка</v>
      </c>
      <c r="B74" s="76" t="str">
        <f t="shared" si="33"/>
        <v>исп.</v>
      </c>
      <c r="C74" s="76" t="s">
        <v>53</v>
      </c>
      <c r="D74" s="76" t="s">
        <v>54</v>
      </c>
      <c r="E74" s="92" t="str">
        <f t="shared" ref="E74:E79" si="35">E73</f>
        <v>ТКП №1</v>
      </c>
      <c r="F74" s="92" t="str">
        <f>F73</f>
        <v>ТТН №5</v>
      </c>
      <c r="G74" s="93">
        <f>G73</f>
        <v>42745</v>
      </c>
      <c r="H74" s="18"/>
      <c r="I74" s="15"/>
      <c r="J74" s="15"/>
      <c r="K74" s="9"/>
      <c r="L74" s="9"/>
      <c r="M74" s="9"/>
      <c r="N74" s="84"/>
      <c r="O74" s="17"/>
      <c r="P74" s="18"/>
      <c r="Q74" s="12"/>
      <c r="R74" s="3"/>
      <c r="S74" s="18">
        <f>G73+11</f>
        <v>42756</v>
      </c>
      <c r="T74" s="18" t="s">
        <v>29</v>
      </c>
      <c r="U74" s="3">
        <f>0.4*L73</f>
        <v>200000</v>
      </c>
      <c r="V74" s="19">
        <f>IF(Y74&gt;0,Y74-S74,$D$3-S74)</f>
        <v>20</v>
      </c>
      <c r="W74" s="11" t="s">
        <v>20</v>
      </c>
      <c r="X74" s="11" t="s">
        <v>152</v>
      </c>
      <c r="Y74" s="18">
        <v>42776</v>
      </c>
      <c r="Z74" s="9">
        <v>200000</v>
      </c>
      <c r="AA74" s="3">
        <f t="shared" ref="AA74:AA75" si="36">IF(Y74&gt;0,0,Z74)</f>
        <v>0</v>
      </c>
      <c r="AB74" s="3">
        <f t="shared" ref="AB74:AB83" si="37">IF(AND(T74="аванс",AA74&gt;0),AA74,0)</f>
        <v>0</v>
      </c>
      <c r="AC74" s="6">
        <f>IF(AND($W74&gt;0,$AA74&gt;0,OR($S74=D$3,$S74&lt;D$3)),$AA74,0)</f>
        <v>0</v>
      </c>
      <c r="AD74" s="3"/>
      <c r="AE74" s="3"/>
    </row>
    <row r="75" spans="1:31" outlineLevel="1" x14ac:dyDescent="0.3">
      <c r="A75" s="76" t="str">
        <f t="shared" si="33"/>
        <v>Закупка</v>
      </c>
      <c r="B75" s="76" t="str">
        <f t="shared" si="33"/>
        <v>исп.</v>
      </c>
      <c r="C75" s="76" t="s">
        <v>53</v>
      </c>
      <c r="D75" s="76" t="s">
        <v>54</v>
      </c>
      <c r="E75" s="92" t="str">
        <f t="shared" si="35"/>
        <v>ТКП №1</v>
      </c>
      <c r="F75" s="92" t="str">
        <f>F74</f>
        <v>ТТН №5</v>
      </c>
      <c r="G75" s="93">
        <f>G74</f>
        <v>42745</v>
      </c>
      <c r="H75" s="18"/>
      <c r="I75" s="15"/>
      <c r="J75" s="15"/>
      <c r="K75" s="9"/>
      <c r="L75" s="9"/>
      <c r="M75" s="9"/>
      <c r="N75" s="84"/>
      <c r="O75" s="17"/>
      <c r="P75" s="18"/>
      <c r="Q75" s="12"/>
      <c r="R75" s="3"/>
      <c r="S75" s="18">
        <f>G73+31</f>
        <v>42776</v>
      </c>
      <c r="T75" s="18" t="s">
        <v>30</v>
      </c>
      <c r="U75" s="3">
        <f>0.6*L73</f>
        <v>300000</v>
      </c>
      <c r="V75" s="19">
        <f>IF(Y75&gt;0,Y75-S75,$D$3-S75)</f>
        <v>0</v>
      </c>
      <c r="W75" s="11" t="s">
        <v>20</v>
      </c>
      <c r="X75" s="11" t="s">
        <v>152</v>
      </c>
      <c r="Y75" s="18">
        <v>42776</v>
      </c>
      <c r="Z75" s="9">
        <v>300000</v>
      </c>
      <c r="AA75" s="3">
        <f t="shared" si="36"/>
        <v>0</v>
      </c>
      <c r="AB75" s="3">
        <f t="shared" si="37"/>
        <v>0</v>
      </c>
      <c r="AC75" s="6">
        <f>IF(AND($W75&gt;0,$AA75&gt;0,OR($S75=D$3,$S75&lt;D$3)),$AA75,0)</f>
        <v>0</v>
      </c>
      <c r="AD75" s="3"/>
      <c r="AE75" s="3"/>
    </row>
    <row r="76" spans="1:31" outlineLevel="1" x14ac:dyDescent="0.3">
      <c r="A76" s="76" t="str">
        <f t="shared" si="33"/>
        <v>Закупка</v>
      </c>
      <c r="B76" s="76" t="str">
        <f t="shared" si="33"/>
        <v>исп.</v>
      </c>
      <c r="C76" s="76" t="s">
        <v>53</v>
      </c>
      <c r="D76" s="76" t="s">
        <v>54</v>
      </c>
      <c r="E76" s="92" t="str">
        <f t="shared" si="35"/>
        <v>ТКП №1</v>
      </c>
      <c r="F76" s="7" t="s">
        <v>16</v>
      </c>
      <c r="G76" s="8">
        <v>42747</v>
      </c>
      <c r="H76" s="8"/>
      <c r="I76" s="23" t="s">
        <v>19</v>
      </c>
      <c r="J76" s="23"/>
      <c r="K76" s="24"/>
      <c r="L76" s="24">
        <v>450000</v>
      </c>
      <c r="M76" s="24"/>
      <c r="N76" s="85">
        <v>1</v>
      </c>
      <c r="O76" s="41">
        <v>0.2</v>
      </c>
      <c r="P76" s="8">
        <f>P72</f>
        <v>42766</v>
      </c>
      <c r="Q76" s="42">
        <f>G76-P76</f>
        <v>-19</v>
      </c>
      <c r="R76" s="7"/>
      <c r="S76" s="8"/>
      <c r="T76" s="8"/>
      <c r="U76" s="7"/>
      <c r="V76" s="43"/>
      <c r="W76" s="7"/>
      <c r="X76" s="7"/>
      <c r="Y76" s="7"/>
      <c r="Z76" s="24"/>
      <c r="AA76" s="78">
        <f>AA77+AA78+AA79</f>
        <v>150000</v>
      </c>
      <c r="AB76" s="78">
        <f t="shared" ref="AB76:AE76" si="38">AB77+AB78+AB79</f>
        <v>0</v>
      </c>
      <c r="AC76" s="78">
        <f t="shared" si="38"/>
        <v>150000</v>
      </c>
      <c r="AD76" s="78">
        <f t="shared" si="38"/>
        <v>0</v>
      </c>
      <c r="AE76" s="78">
        <f t="shared" si="38"/>
        <v>0</v>
      </c>
    </row>
    <row r="77" spans="1:31" outlineLevel="1" x14ac:dyDescent="0.3">
      <c r="A77" s="76" t="str">
        <f t="shared" si="33"/>
        <v>Закупка</v>
      </c>
      <c r="B77" s="76" t="str">
        <f t="shared" si="33"/>
        <v>исп.</v>
      </c>
      <c r="C77" s="76" t="s">
        <v>53</v>
      </c>
      <c r="D77" s="76" t="s">
        <v>54</v>
      </c>
      <c r="E77" s="92" t="str">
        <f t="shared" si="35"/>
        <v>ТКП №1</v>
      </c>
      <c r="F77" s="92" t="str">
        <f t="shared" ref="F77:G79" si="39">F76</f>
        <v>ТТН №7</v>
      </c>
      <c r="G77" s="93">
        <f t="shared" si="39"/>
        <v>42747</v>
      </c>
      <c r="H77" s="18"/>
      <c r="I77" s="15"/>
      <c r="J77" s="15"/>
      <c r="K77" s="9"/>
      <c r="L77" s="9"/>
      <c r="M77" s="9"/>
      <c r="N77" s="84"/>
      <c r="O77" s="17"/>
      <c r="P77" s="18"/>
      <c r="Q77" s="16"/>
      <c r="R77" s="1"/>
      <c r="S77" s="18">
        <f>G76+11</f>
        <v>42758</v>
      </c>
      <c r="T77" s="18" t="s">
        <v>29</v>
      </c>
      <c r="U77" s="3">
        <f>0.4*L76</f>
        <v>180000</v>
      </c>
      <c r="V77" s="19">
        <f>IF(Y77&gt;0,Y77-S77,$D$3-S77)</f>
        <v>20</v>
      </c>
      <c r="W77" s="11" t="s">
        <v>21</v>
      </c>
      <c r="X77" s="11" t="s">
        <v>152</v>
      </c>
      <c r="Y77" s="18">
        <v>42778</v>
      </c>
      <c r="Z77" s="9">
        <v>180000</v>
      </c>
      <c r="AA77" s="3"/>
      <c r="AB77" s="3"/>
      <c r="AC77" s="6"/>
      <c r="AD77" s="3"/>
      <c r="AE77" s="3"/>
    </row>
    <row r="78" spans="1:31" outlineLevel="1" x14ac:dyDescent="0.3">
      <c r="A78" s="76" t="str">
        <f t="shared" si="33"/>
        <v>Закупка</v>
      </c>
      <c r="B78" s="76" t="str">
        <f t="shared" si="33"/>
        <v>исп.</v>
      </c>
      <c r="C78" s="76" t="s">
        <v>53</v>
      </c>
      <c r="D78" s="76" t="s">
        <v>54</v>
      </c>
      <c r="E78" s="92" t="str">
        <f t="shared" si="35"/>
        <v>ТКП №1</v>
      </c>
      <c r="F78" s="92" t="str">
        <f t="shared" si="39"/>
        <v>ТТН №7</v>
      </c>
      <c r="G78" s="93">
        <f t="shared" si="39"/>
        <v>42747</v>
      </c>
      <c r="H78" s="18"/>
      <c r="I78" s="15"/>
      <c r="J78" s="15"/>
      <c r="K78" s="9"/>
      <c r="L78" s="9"/>
      <c r="M78" s="9"/>
      <c r="N78" s="84"/>
      <c r="O78" s="17"/>
      <c r="P78" s="18"/>
      <c r="Q78" s="16"/>
      <c r="R78" s="1"/>
      <c r="S78" s="18">
        <f>G76+31</f>
        <v>42778</v>
      </c>
      <c r="T78" s="18" t="s">
        <v>30</v>
      </c>
      <c r="U78" s="3">
        <f>0.6*L76</f>
        <v>270000</v>
      </c>
      <c r="V78" s="19">
        <f>IF(Y78&gt;0,Y78-S78,$D$3-S78)</f>
        <v>0</v>
      </c>
      <c r="W78" s="11" t="s">
        <v>21</v>
      </c>
      <c r="X78" s="11" t="s">
        <v>152</v>
      </c>
      <c r="Y78" s="18">
        <v>42778</v>
      </c>
      <c r="Z78" s="9">
        <f>120000</f>
        <v>120000</v>
      </c>
      <c r="AA78" s="3">
        <f t="shared" ref="AA78:AA79" si="40">IF(Y78&gt;0,0,Z78)</f>
        <v>0</v>
      </c>
      <c r="AB78" s="3">
        <f t="shared" si="37"/>
        <v>0</v>
      </c>
      <c r="AC78" s="6">
        <f>IF(AND($W78&gt;0,$AA78&gt;0,OR($S78=D$3,$S78&lt;D$3)),$AA78,0)</f>
        <v>0</v>
      </c>
      <c r="AD78" s="3"/>
      <c r="AE78" s="3"/>
    </row>
    <row r="79" spans="1:31" outlineLevel="1" x14ac:dyDescent="0.3">
      <c r="A79" s="76" t="str">
        <f t="shared" si="33"/>
        <v>Закупка</v>
      </c>
      <c r="B79" s="76" t="str">
        <f t="shared" si="33"/>
        <v>исп.</v>
      </c>
      <c r="C79" s="76" t="s">
        <v>53</v>
      </c>
      <c r="D79" s="76" t="s">
        <v>54</v>
      </c>
      <c r="E79" s="92" t="str">
        <f t="shared" si="35"/>
        <v>ТКП №1</v>
      </c>
      <c r="F79" s="92" t="str">
        <f t="shared" si="39"/>
        <v>ТТН №7</v>
      </c>
      <c r="G79" s="93">
        <f t="shared" si="39"/>
        <v>42747</v>
      </c>
      <c r="H79" s="11"/>
      <c r="I79" s="15"/>
      <c r="J79" s="15"/>
      <c r="K79" s="9"/>
      <c r="L79" s="9"/>
      <c r="M79" s="9"/>
      <c r="N79" s="84"/>
      <c r="O79" s="9"/>
      <c r="P79" s="18"/>
      <c r="Q79" s="16"/>
      <c r="R79" s="11"/>
      <c r="S79" s="18">
        <f>S78</f>
        <v>42778</v>
      </c>
      <c r="T79" s="18"/>
      <c r="U79" s="11"/>
      <c r="V79" s="19"/>
      <c r="W79" s="11" t="s">
        <v>44</v>
      </c>
      <c r="X79" s="31"/>
      <c r="Y79" s="31"/>
      <c r="Z79" s="52">
        <f>U77+U78-Z77-Z78</f>
        <v>150000</v>
      </c>
      <c r="AA79" s="3">
        <f t="shared" si="40"/>
        <v>150000</v>
      </c>
      <c r="AB79" s="3">
        <f t="shared" si="37"/>
        <v>0</v>
      </c>
      <c r="AC79" s="6">
        <f>IF(AND($W79&gt;0,$AA79&gt;0,OR($S79=D$3,$S79&lt;D$3)),$AA79,0)</f>
        <v>150000</v>
      </c>
      <c r="AD79" s="3"/>
      <c r="AE79" s="3"/>
    </row>
    <row r="80" spans="1:31" outlineLevel="1" x14ac:dyDescent="0.3">
      <c r="A80" s="76" t="str">
        <f t="shared" si="33"/>
        <v>Закупка</v>
      </c>
      <c r="B80" s="76" t="str">
        <f t="shared" si="33"/>
        <v>исп.</v>
      </c>
      <c r="C80" s="76" t="s">
        <v>53</v>
      </c>
      <c r="D80" s="76" t="s">
        <v>54</v>
      </c>
      <c r="E80" s="11" t="s">
        <v>12</v>
      </c>
      <c r="F80" s="11"/>
      <c r="G80" s="18">
        <v>42756</v>
      </c>
      <c r="H80" s="18"/>
      <c r="I80" s="15" t="s">
        <v>19</v>
      </c>
      <c r="J80" s="9">
        <v>1000000</v>
      </c>
      <c r="K80" s="9"/>
      <c r="L80" s="9">
        <f>L81</f>
        <v>1050000</v>
      </c>
      <c r="M80" s="9">
        <f>M81</f>
        <v>0</v>
      </c>
      <c r="N80" s="84"/>
      <c r="O80" s="17"/>
      <c r="P80" s="18">
        <v>42794</v>
      </c>
      <c r="Q80" s="12">
        <f>IF(R80&gt;0,$D$3-P80,0)</f>
        <v>0</v>
      </c>
      <c r="R80" s="26">
        <f>J80-L80</f>
        <v>-50000</v>
      </c>
      <c r="S80" s="18"/>
      <c r="T80" s="18"/>
      <c r="U80" s="3"/>
      <c r="V80" s="19"/>
      <c r="W80" s="11"/>
      <c r="X80" s="11"/>
      <c r="Y80" s="11"/>
      <c r="Z80" s="9"/>
      <c r="AA80" s="3"/>
      <c r="AB80" s="3"/>
      <c r="AC80" s="6"/>
      <c r="AD80" s="3"/>
      <c r="AE80" s="3"/>
    </row>
    <row r="81" spans="1:31" outlineLevel="1" x14ac:dyDescent="0.3">
      <c r="A81" s="76" t="str">
        <f t="shared" si="33"/>
        <v>Закупка</v>
      </c>
      <c r="B81" s="76" t="str">
        <f t="shared" si="33"/>
        <v>исп.</v>
      </c>
      <c r="C81" s="76" t="s">
        <v>53</v>
      </c>
      <c r="D81" s="76" t="s">
        <v>54</v>
      </c>
      <c r="E81" s="92" t="str">
        <f t="shared" ref="E81:E83" si="41">E80</f>
        <v>ТКП №2</v>
      </c>
      <c r="F81" s="7" t="s">
        <v>17</v>
      </c>
      <c r="G81" s="8">
        <v>42776</v>
      </c>
      <c r="H81" s="8"/>
      <c r="I81" s="23" t="s">
        <v>19</v>
      </c>
      <c r="J81" s="23"/>
      <c r="K81" s="24"/>
      <c r="L81" s="24">
        <v>1050000</v>
      </c>
      <c r="M81" s="24"/>
      <c r="N81" s="85">
        <v>1</v>
      </c>
      <c r="O81" s="41">
        <v>0.2</v>
      </c>
      <c r="P81" s="8">
        <v>42794</v>
      </c>
      <c r="Q81" s="42">
        <f>G81-P81</f>
        <v>-18</v>
      </c>
      <c r="R81" s="7"/>
      <c r="S81" s="8"/>
      <c r="T81" s="8"/>
      <c r="U81" s="7"/>
      <c r="V81" s="43"/>
      <c r="W81" s="7"/>
      <c r="X81" s="7"/>
      <c r="Y81" s="7"/>
      <c r="Z81" s="24"/>
      <c r="AA81" s="78">
        <f>AA82+AA83</f>
        <v>1050000</v>
      </c>
      <c r="AB81" s="78">
        <f t="shared" ref="AB81:AE81" si="42">AB82+AB83</f>
        <v>0</v>
      </c>
      <c r="AC81" s="78">
        <f t="shared" si="42"/>
        <v>1050000</v>
      </c>
      <c r="AD81" s="78">
        <f t="shared" si="42"/>
        <v>0</v>
      </c>
      <c r="AE81" s="78">
        <f t="shared" si="42"/>
        <v>0</v>
      </c>
    </row>
    <row r="82" spans="1:31" outlineLevel="1" x14ac:dyDescent="0.3">
      <c r="A82" s="76" t="str">
        <f t="shared" si="33"/>
        <v>Закупка</v>
      </c>
      <c r="B82" s="76" t="str">
        <f t="shared" si="33"/>
        <v>исп.</v>
      </c>
      <c r="C82" s="76" t="s">
        <v>53</v>
      </c>
      <c r="D82" s="76" t="s">
        <v>54</v>
      </c>
      <c r="E82" s="92" t="str">
        <f t="shared" si="41"/>
        <v>ТКП №2</v>
      </c>
      <c r="F82" s="92" t="str">
        <f>F81</f>
        <v>ТТН №9</v>
      </c>
      <c r="G82" s="93">
        <f>G81</f>
        <v>42776</v>
      </c>
      <c r="H82" s="18"/>
      <c r="I82" s="15"/>
      <c r="J82" s="15"/>
      <c r="K82" s="9"/>
      <c r="L82" s="9"/>
      <c r="M82" s="9"/>
      <c r="N82" s="84"/>
      <c r="O82" s="17"/>
      <c r="P82" s="18"/>
      <c r="Q82" s="12"/>
      <c r="R82" s="1"/>
      <c r="S82" s="18">
        <f>G81+11</f>
        <v>42787</v>
      </c>
      <c r="T82" s="18" t="s">
        <v>29</v>
      </c>
      <c r="U82" s="3">
        <f>0.4*L81</f>
        <v>420000</v>
      </c>
      <c r="V82" s="19">
        <f>IF(Y82&gt;0,Y82-S82,$D$3-S82)</f>
        <v>52</v>
      </c>
      <c r="W82" s="11" t="s">
        <v>44</v>
      </c>
      <c r="X82" s="11"/>
      <c r="Y82" s="11"/>
      <c r="Z82" s="9">
        <f t="shared" ref="Z82:Z83" si="43">U82</f>
        <v>420000</v>
      </c>
      <c r="AA82" s="3">
        <f t="shared" ref="AA82:AA83" si="44">IF(Y82&gt;0,0,Z82)</f>
        <v>420000</v>
      </c>
      <c r="AB82" s="3">
        <f t="shared" si="37"/>
        <v>0</v>
      </c>
      <c r="AC82" s="6">
        <f>IF(AND($W82&gt;0,$AA82&gt;0,OR($S82=D$3,$S82&lt;D$3)),$AA82,0)</f>
        <v>420000</v>
      </c>
      <c r="AD82" s="3"/>
      <c r="AE82" s="3"/>
    </row>
    <row r="83" spans="1:31" outlineLevel="1" x14ac:dyDescent="0.3">
      <c r="A83" s="76" t="str">
        <f t="shared" si="33"/>
        <v>Закупка</v>
      </c>
      <c r="B83" s="76" t="str">
        <f t="shared" si="33"/>
        <v>исп.</v>
      </c>
      <c r="C83" s="76" t="s">
        <v>53</v>
      </c>
      <c r="D83" s="76" t="s">
        <v>54</v>
      </c>
      <c r="E83" s="92" t="str">
        <f t="shared" si="41"/>
        <v>ТКП №2</v>
      </c>
      <c r="F83" s="92" t="str">
        <f>F82</f>
        <v>ТТН №9</v>
      </c>
      <c r="G83" s="93">
        <f>G82</f>
        <v>42776</v>
      </c>
      <c r="H83" s="18"/>
      <c r="I83" s="15"/>
      <c r="J83" s="15"/>
      <c r="K83" s="9"/>
      <c r="L83" s="9"/>
      <c r="M83" s="9"/>
      <c r="N83" s="84"/>
      <c r="O83" s="17"/>
      <c r="P83" s="18"/>
      <c r="Q83" s="12"/>
      <c r="R83" s="1"/>
      <c r="S83" s="18">
        <f>G81+31</f>
        <v>42807</v>
      </c>
      <c r="T83" s="18" t="s">
        <v>30</v>
      </c>
      <c r="U83" s="3">
        <f>0.6*L81</f>
        <v>630000</v>
      </c>
      <c r="V83" s="19">
        <f>IF(Y83&gt;0,Y83-S83,$D$3-S83)</f>
        <v>32</v>
      </c>
      <c r="W83" s="11" t="s">
        <v>44</v>
      </c>
      <c r="X83" s="11"/>
      <c r="Y83" s="11"/>
      <c r="Z83" s="9">
        <f t="shared" si="43"/>
        <v>630000</v>
      </c>
      <c r="AA83" s="3">
        <f t="shared" si="44"/>
        <v>630000</v>
      </c>
      <c r="AB83" s="3">
        <f t="shared" si="37"/>
        <v>0</v>
      </c>
      <c r="AC83" s="6">
        <f>IF(AND($W83&gt;0,$AA83&gt;0,OR($S83=D$3,$S83&lt;D$3)),$AA83,0)</f>
        <v>630000</v>
      </c>
      <c r="AD83" s="3"/>
      <c r="AE83" s="3"/>
    </row>
    <row r="84" spans="1:31" outlineLevel="1" x14ac:dyDescent="0.3">
      <c r="A84" s="76" t="str">
        <f t="shared" si="33"/>
        <v>Закупка</v>
      </c>
      <c r="B84" s="76" t="str">
        <f t="shared" si="33"/>
        <v>исп.</v>
      </c>
      <c r="C84" s="76" t="s">
        <v>53</v>
      </c>
      <c r="D84" s="76" t="s">
        <v>54</v>
      </c>
      <c r="E84" s="11" t="s">
        <v>13</v>
      </c>
      <c r="F84" s="11"/>
      <c r="G84" s="18">
        <v>42756</v>
      </c>
      <c r="H84" s="18"/>
      <c r="I84" s="15" t="s">
        <v>19</v>
      </c>
      <c r="J84" s="9">
        <v>1000000</v>
      </c>
      <c r="K84" s="9"/>
      <c r="L84" s="9"/>
      <c r="M84" s="9"/>
      <c r="N84" s="84"/>
      <c r="O84" s="17"/>
      <c r="P84" s="18">
        <v>42825</v>
      </c>
      <c r="Q84" s="12">
        <f>IF(R84&gt;0,$D$3-P84,0)</f>
        <v>14</v>
      </c>
      <c r="R84" s="3">
        <f>J84-L84</f>
        <v>1000000</v>
      </c>
      <c r="S84" s="18"/>
      <c r="T84" s="18"/>
      <c r="U84" s="3"/>
      <c r="V84" s="19"/>
      <c r="W84" s="11"/>
      <c r="X84" s="11"/>
      <c r="Y84" s="11"/>
      <c r="Z84" s="9"/>
      <c r="AA84" s="3"/>
      <c r="AB84" s="3"/>
      <c r="AC84" s="6"/>
      <c r="AD84" s="3"/>
      <c r="AE84" s="3"/>
    </row>
    <row r="85" spans="1:31" outlineLevel="1" x14ac:dyDescent="0.3">
      <c r="A85" s="76" t="str">
        <f t="shared" si="33"/>
        <v>Закупка</v>
      </c>
      <c r="B85" s="76" t="str">
        <f t="shared" si="33"/>
        <v>исп.</v>
      </c>
      <c r="C85" s="76" t="s">
        <v>53</v>
      </c>
      <c r="D85" s="76" t="s">
        <v>54</v>
      </c>
      <c r="E85" s="11" t="s">
        <v>14</v>
      </c>
      <c r="F85" s="11"/>
      <c r="G85" s="18">
        <v>42756</v>
      </c>
      <c r="H85" s="18"/>
      <c r="I85" s="15" t="s">
        <v>19</v>
      </c>
      <c r="J85" s="9">
        <v>2000000</v>
      </c>
      <c r="K85" s="9"/>
      <c r="L85" s="9"/>
      <c r="M85" s="9"/>
      <c r="N85" s="84"/>
      <c r="O85" s="17"/>
      <c r="P85" s="18">
        <v>42855</v>
      </c>
      <c r="Q85" s="12">
        <f>IF(R85&gt;0,$D$3-P85,0)</f>
        <v>-16</v>
      </c>
      <c r="R85" s="3">
        <f>J85-L85</f>
        <v>2000000</v>
      </c>
      <c r="S85" s="18"/>
      <c r="T85" s="18"/>
      <c r="U85" s="3"/>
      <c r="V85" s="19"/>
      <c r="W85" s="11"/>
      <c r="X85" s="11"/>
      <c r="Y85" s="11"/>
      <c r="Z85" s="9"/>
      <c r="AA85" s="3"/>
      <c r="AB85" s="3"/>
      <c r="AC85" s="6"/>
      <c r="AD85" s="3"/>
      <c r="AE85" s="3"/>
    </row>
    <row r="86" spans="1:31" x14ac:dyDescent="0.3">
      <c r="A86" s="76"/>
      <c r="N86" s="87"/>
      <c r="P86" s="80"/>
      <c r="S86" s="80"/>
    </row>
    <row r="87" spans="1:31" outlineLevel="1" x14ac:dyDescent="0.3">
      <c r="A87" s="76"/>
      <c r="B87" t="s">
        <v>76</v>
      </c>
      <c r="E87" t="s">
        <v>80</v>
      </c>
      <c r="N87" s="87"/>
      <c r="P87" s="80"/>
      <c r="S87" s="80"/>
    </row>
    <row r="88" spans="1:31" outlineLevel="1" x14ac:dyDescent="0.3">
      <c r="A88" s="76"/>
      <c r="B88" t="s">
        <v>77</v>
      </c>
      <c r="N88" s="87"/>
      <c r="P88" s="80"/>
      <c r="S88" s="80"/>
    </row>
    <row r="89" spans="1:31" outlineLevel="1" x14ac:dyDescent="0.3">
      <c r="A89" s="76"/>
      <c r="N89" s="87"/>
      <c r="P89" s="80"/>
      <c r="S89" s="80"/>
    </row>
    <row r="90" spans="1:31" x14ac:dyDescent="0.3">
      <c r="A90" s="76" t="s">
        <v>3</v>
      </c>
      <c r="B90" s="1"/>
      <c r="C90" s="4" t="s">
        <v>104</v>
      </c>
      <c r="D90" s="4"/>
      <c r="E90" s="4"/>
      <c r="F90" s="4"/>
      <c r="G90" s="1"/>
      <c r="H90" s="1"/>
      <c r="I90" s="1"/>
      <c r="J90" s="6">
        <f>J91</f>
        <v>5000000</v>
      </c>
      <c r="K90" s="9">
        <v>0</v>
      </c>
      <c r="L90" s="20">
        <f>L91</f>
        <v>1000000</v>
      </c>
      <c r="M90" s="20">
        <f>M91</f>
        <v>0</v>
      </c>
      <c r="N90" s="83"/>
      <c r="O90" s="1"/>
      <c r="P90" s="2"/>
      <c r="Q90" s="12"/>
      <c r="R90" s="6">
        <f>R91</f>
        <v>4000000</v>
      </c>
      <c r="S90" s="2"/>
      <c r="T90" s="1"/>
      <c r="U90" s="1"/>
      <c r="V90" s="1"/>
      <c r="W90" s="1"/>
      <c r="X90" s="1"/>
      <c r="Y90" s="1"/>
      <c r="Z90" s="6">
        <f>Z91</f>
        <v>600000</v>
      </c>
      <c r="AA90" s="6">
        <f>AA91</f>
        <v>880000</v>
      </c>
      <c r="AB90" s="6">
        <f t="shared" ref="AB90:AC90" si="45">AB91</f>
        <v>0</v>
      </c>
      <c r="AC90" s="6">
        <f t="shared" si="45"/>
        <v>880000</v>
      </c>
      <c r="AD90" s="1"/>
      <c r="AE90" s="1"/>
    </row>
    <row r="91" spans="1:31" outlineLevel="1" x14ac:dyDescent="0.3">
      <c r="A91" s="76" t="str">
        <f t="shared" si="33"/>
        <v>Закупка</v>
      </c>
      <c r="B91" s="1" t="s">
        <v>4</v>
      </c>
      <c r="C91" s="76" t="s">
        <v>104</v>
      </c>
      <c r="D91" s="4" t="s">
        <v>108</v>
      </c>
      <c r="E91" s="4"/>
      <c r="F91" s="4"/>
      <c r="G91" s="5">
        <v>42756</v>
      </c>
      <c r="H91" s="5"/>
      <c r="I91" s="5" t="s">
        <v>19</v>
      </c>
      <c r="J91" s="6">
        <v>5000000</v>
      </c>
      <c r="K91" s="9">
        <v>0</v>
      </c>
      <c r="L91" s="20">
        <f>SUM(L93:L98)</f>
        <v>1000000</v>
      </c>
      <c r="M91" s="20">
        <f>SUM(M93:M98)</f>
        <v>0</v>
      </c>
      <c r="N91" s="84"/>
      <c r="O91" s="17">
        <v>0.2</v>
      </c>
      <c r="P91" s="18"/>
      <c r="Q91" s="18"/>
      <c r="R91" s="6">
        <f>J91-L91</f>
        <v>4000000</v>
      </c>
      <c r="S91" s="18"/>
      <c r="T91" s="18"/>
      <c r="U91" s="18"/>
      <c r="V91" s="18"/>
      <c r="W91" s="18"/>
      <c r="X91" s="18"/>
      <c r="Y91" s="18"/>
      <c r="Z91" s="20">
        <f>Z93+Z96+Z98+Z101+Z102</f>
        <v>600000</v>
      </c>
      <c r="AA91" s="9">
        <f>AA93+AA96+AA98</f>
        <v>880000</v>
      </c>
      <c r="AB91" s="9">
        <f t="shared" ref="AB91:AC91" si="46">AB93+AB96+AB98</f>
        <v>0</v>
      </c>
      <c r="AC91" s="9">
        <f t="shared" si="46"/>
        <v>880000</v>
      </c>
      <c r="AD91" s="6" t="s">
        <v>71</v>
      </c>
      <c r="AE91" s="6"/>
    </row>
    <row r="92" spans="1:31" outlineLevel="1" x14ac:dyDescent="0.3">
      <c r="A92" s="76" t="str">
        <f t="shared" si="33"/>
        <v>Закупка</v>
      </c>
      <c r="B92" s="76" t="str">
        <f t="shared" si="33"/>
        <v>исп.</v>
      </c>
      <c r="C92" s="76" t="s">
        <v>104</v>
      </c>
      <c r="D92" s="76" t="s">
        <v>108</v>
      </c>
      <c r="E92" s="73" t="s">
        <v>78</v>
      </c>
      <c r="F92" s="22"/>
      <c r="G92" s="36"/>
      <c r="H92" s="36"/>
      <c r="I92" s="36"/>
      <c r="J92" s="20">
        <f>J91</f>
        <v>5000000</v>
      </c>
      <c r="K92" s="9"/>
      <c r="L92" s="9"/>
      <c r="M92" s="9"/>
      <c r="N92" s="84"/>
      <c r="O92" s="17"/>
      <c r="P92" s="18"/>
      <c r="Q92" s="12"/>
      <c r="R92" s="3"/>
      <c r="S92" s="18"/>
      <c r="T92" s="18"/>
      <c r="U92" s="3"/>
      <c r="V92" s="19"/>
      <c r="W92" s="1"/>
      <c r="X92" s="1"/>
      <c r="Y92" s="1"/>
      <c r="Z92" s="9"/>
      <c r="AA92" s="3"/>
      <c r="AB92" s="3"/>
      <c r="AC92" s="6">
        <f>IF(AND($W92&gt;0,$AA92&gt;0,OR($S92=D$3,$S92&lt;D$3)),$AA92,0)</f>
        <v>0</v>
      </c>
      <c r="AD92" s="3"/>
      <c r="AE92" s="3"/>
    </row>
    <row r="93" spans="1:31" outlineLevel="1" x14ac:dyDescent="0.3">
      <c r="A93" s="76" t="str">
        <f t="shared" si="33"/>
        <v>Закупка</v>
      </c>
      <c r="B93" s="76" t="str">
        <f t="shared" si="33"/>
        <v>исп.</v>
      </c>
      <c r="C93" s="76" t="s">
        <v>104</v>
      </c>
      <c r="D93" s="76" t="s">
        <v>108</v>
      </c>
      <c r="E93" s="72" t="s">
        <v>74</v>
      </c>
      <c r="F93" s="7" t="s">
        <v>15</v>
      </c>
      <c r="G93" s="8">
        <v>42745</v>
      </c>
      <c r="H93" s="8"/>
      <c r="I93" s="23" t="s">
        <v>19</v>
      </c>
      <c r="J93" s="23"/>
      <c r="K93" s="24"/>
      <c r="L93" s="24">
        <v>500000</v>
      </c>
      <c r="M93" s="24"/>
      <c r="N93" s="85">
        <v>1</v>
      </c>
      <c r="O93" s="41">
        <v>0.2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24">
        <f>Z94</f>
        <v>120000</v>
      </c>
      <c r="AA93" s="24">
        <f>AA95</f>
        <v>380000</v>
      </c>
      <c r="AB93" s="24">
        <f>AB95</f>
        <v>0</v>
      </c>
      <c r="AC93" s="24">
        <f>AC95</f>
        <v>380000</v>
      </c>
      <c r="AD93" s="8"/>
      <c r="AE93" s="8"/>
    </row>
    <row r="94" spans="1:31" outlineLevel="1" x14ac:dyDescent="0.3">
      <c r="A94" s="76" t="str">
        <f t="shared" si="33"/>
        <v>Закупка</v>
      </c>
      <c r="B94" s="76" t="str">
        <f t="shared" si="33"/>
        <v>исп.</v>
      </c>
      <c r="C94" s="76" t="s">
        <v>104</v>
      </c>
      <c r="D94" s="76" t="s">
        <v>108</v>
      </c>
      <c r="E94" s="92" t="str">
        <f t="shared" ref="E94:E95" si="47">E93</f>
        <v>не определено ТКП</v>
      </c>
      <c r="F94" s="92" t="str">
        <f>F93</f>
        <v>ТТН №5</v>
      </c>
      <c r="G94" s="93">
        <f>G93</f>
        <v>42745</v>
      </c>
      <c r="H94" s="18"/>
      <c r="I94" s="15"/>
      <c r="J94" s="9"/>
      <c r="K94" s="9"/>
      <c r="L94" s="9"/>
      <c r="M94" s="9"/>
      <c r="N94" s="84"/>
      <c r="O94" s="17"/>
      <c r="P94" s="18"/>
      <c r="Q94" s="12"/>
      <c r="R94" s="3"/>
      <c r="S94" s="37"/>
      <c r="T94" s="70" t="s">
        <v>75</v>
      </c>
      <c r="U94" s="3"/>
      <c r="V94" s="39"/>
      <c r="W94" s="11" t="s">
        <v>21</v>
      </c>
      <c r="X94" s="11" t="s">
        <v>152</v>
      </c>
      <c r="Y94" s="18">
        <v>42778</v>
      </c>
      <c r="Z94" s="9">
        <f>120000</f>
        <v>120000</v>
      </c>
      <c r="AA94" s="3">
        <f t="shared" ref="AA94:AA102" si="48">IF(Y94&gt;0,0,Z94)</f>
        <v>0</v>
      </c>
      <c r="AB94" s="3">
        <f t="shared" ref="AB94:AB102" si="49">IF(AND(T94="аванс",AA94&gt;0),AA94,0)</f>
        <v>0</v>
      </c>
      <c r="AC94" s="6">
        <f>IF(AND($W94&gt;0,$AA94&gt;0,OR($S94=D$3,$S94&lt;D$3)),$AA94,0)</f>
        <v>0</v>
      </c>
      <c r="AD94" s="3"/>
      <c r="AE94" s="3"/>
    </row>
    <row r="95" spans="1:31" outlineLevel="1" x14ac:dyDescent="0.3">
      <c r="A95" s="76" t="str">
        <f t="shared" si="33"/>
        <v>Закупка</v>
      </c>
      <c r="B95" s="76" t="str">
        <f t="shared" si="33"/>
        <v>исп.</v>
      </c>
      <c r="C95" s="76" t="s">
        <v>104</v>
      </c>
      <c r="D95" s="76" t="s">
        <v>108</v>
      </c>
      <c r="E95" s="92" t="str">
        <f t="shared" si="47"/>
        <v>не определено ТКП</v>
      </c>
      <c r="F95" s="92" t="str">
        <f>F94</f>
        <v>ТТН №5</v>
      </c>
      <c r="G95" s="93">
        <f>G94</f>
        <v>42745</v>
      </c>
      <c r="H95" s="18"/>
      <c r="I95" s="15"/>
      <c r="J95" s="9"/>
      <c r="K95" s="9"/>
      <c r="L95" s="9"/>
      <c r="M95" s="9"/>
      <c r="N95" s="84"/>
      <c r="O95" s="17"/>
      <c r="P95" s="18"/>
      <c r="Q95" s="12"/>
      <c r="R95" s="3"/>
      <c r="S95" s="37"/>
      <c r="T95" s="70" t="s">
        <v>75</v>
      </c>
      <c r="U95" s="3"/>
      <c r="V95" s="39"/>
      <c r="W95" s="11" t="s">
        <v>44</v>
      </c>
      <c r="X95" s="11"/>
      <c r="Y95" s="18"/>
      <c r="Z95" s="9">
        <f>L93-Z94</f>
        <v>380000</v>
      </c>
      <c r="AA95" s="3">
        <f t="shared" si="48"/>
        <v>380000</v>
      </c>
      <c r="AB95" s="3">
        <f t="shared" si="49"/>
        <v>0</v>
      </c>
      <c r="AC95" s="6">
        <f>IF(AND($W95&gt;0,$AA95&gt;0,OR($S95=D$3,$S95&lt;D$3)),$AA95,0)</f>
        <v>380000</v>
      </c>
      <c r="AD95" s="3"/>
      <c r="AE95" s="3"/>
    </row>
    <row r="96" spans="1:31" outlineLevel="1" x14ac:dyDescent="0.3">
      <c r="A96" s="76" t="str">
        <f t="shared" si="33"/>
        <v>Закупка</v>
      </c>
      <c r="B96" s="76" t="str">
        <f t="shared" si="33"/>
        <v>исп.</v>
      </c>
      <c r="C96" s="76" t="s">
        <v>104</v>
      </c>
      <c r="D96" s="76" t="s">
        <v>108</v>
      </c>
      <c r="E96" s="72" t="s">
        <v>74</v>
      </c>
      <c r="F96" s="7" t="s">
        <v>16</v>
      </c>
      <c r="G96" s="8">
        <v>42747</v>
      </c>
      <c r="H96" s="8"/>
      <c r="I96" s="23" t="s">
        <v>19</v>
      </c>
      <c r="J96" s="23"/>
      <c r="K96" s="24"/>
      <c r="L96" s="24">
        <v>450000</v>
      </c>
      <c r="M96" s="24"/>
      <c r="N96" s="85">
        <v>1</v>
      </c>
      <c r="O96" s="41">
        <v>0.2</v>
      </c>
      <c r="P96" s="8"/>
      <c r="Q96" s="8"/>
      <c r="R96" s="8"/>
      <c r="S96" s="45"/>
      <c r="T96" s="45"/>
      <c r="U96" s="8"/>
      <c r="V96" s="45"/>
      <c r="W96" s="8"/>
      <c r="X96" s="8"/>
      <c r="Y96" s="8"/>
      <c r="Z96" s="24">
        <v>0</v>
      </c>
      <c r="AA96" s="24">
        <f>AA97</f>
        <v>450000</v>
      </c>
      <c r="AB96" s="24">
        <f t="shared" ref="AB96:AC96" si="50">AB97</f>
        <v>0</v>
      </c>
      <c r="AC96" s="24">
        <f t="shared" si="50"/>
        <v>450000</v>
      </c>
      <c r="AD96" s="8"/>
      <c r="AE96" s="8"/>
    </row>
    <row r="97" spans="1:31" outlineLevel="1" x14ac:dyDescent="0.3">
      <c r="A97" s="76" t="str">
        <f t="shared" si="33"/>
        <v>Закупка</v>
      </c>
      <c r="B97" s="76" t="str">
        <f t="shared" si="33"/>
        <v>исп.</v>
      </c>
      <c r="C97" s="76" t="s">
        <v>104</v>
      </c>
      <c r="D97" s="76" t="s">
        <v>108</v>
      </c>
      <c r="E97" s="92" t="str">
        <f>E96</f>
        <v>не определено ТКП</v>
      </c>
      <c r="F97" s="92" t="str">
        <f>F96</f>
        <v>ТТН №7</v>
      </c>
      <c r="G97" s="93">
        <f>G96</f>
        <v>42747</v>
      </c>
      <c r="H97" s="18"/>
      <c r="I97" s="15"/>
      <c r="J97" s="15"/>
      <c r="K97" s="9"/>
      <c r="L97" s="9"/>
      <c r="M97" s="9"/>
      <c r="N97" s="84"/>
      <c r="O97" s="17"/>
      <c r="P97" s="18"/>
      <c r="Q97" s="18"/>
      <c r="R97" s="18"/>
      <c r="S97" s="37"/>
      <c r="T97" s="70" t="s">
        <v>75</v>
      </c>
      <c r="U97" s="18"/>
      <c r="V97" s="37"/>
      <c r="W97" s="11" t="s">
        <v>44</v>
      </c>
      <c r="X97" s="18"/>
      <c r="Y97" s="18"/>
      <c r="Z97" s="9">
        <f>L96</f>
        <v>450000</v>
      </c>
      <c r="AA97" s="3">
        <f t="shared" si="48"/>
        <v>450000</v>
      </c>
      <c r="AB97" s="3">
        <f t="shared" si="49"/>
        <v>0</v>
      </c>
      <c r="AC97" s="6">
        <f>IF(AND($W97&gt;0,$AA97&gt;0,OR($S97=D$3,$S97&lt;D$3)),$AA97,0)</f>
        <v>450000</v>
      </c>
      <c r="AD97" s="18"/>
      <c r="AE97" s="18"/>
    </row>
    <row r="98" spans="1:31" outlineLevel="1" x14ac:dyDescent="0.3">
      <c r="A98" s="76" t="str">
        <f t="shared" si="33"/>
        <v>Закупка</v>
      </c>
      <c r="B98" s="76" t="str">
        <f t="shared" si="33"/>
        <v>исп.</v>
      </c>
      <c r="C98" s="76" t="s">
        <v>104</v>
      </c>
      <c r="D98" s="76" t="s">
        <v>108</v>
      </c>
      <c r="E98" s="72" t="s">
        <v>74</v>
      </c>
      <c r="F98" s="7" t="s">
        <v>17</v>
      </c>
      <c r="G98" s="8">
        <v>42769</v>
      </c>
      <c r="H98" s="8"/>
      <c r="I98" s="23" t="s">
        <v>19</v>
      </c>
      <c r="J98" s="23"/>
      <c r="K98" s="24"/>
      <c r="L98" s="24">
        <v>50000</v>
      </c>
      <c r="M98" s="24"/>
      <c r="N98" s="85">
        <v>1</v>
      </c>
      <c r="O98" s="41">
        <v>0.2</v>
      </c>
      <c r="P98" s="8"/>
      <c r="Q98" s="8"/>
      <c r="R98" s="8"/>
      <c r="S98" s="45"/>
      <c r="T98" s="45"/>
      <c r="U98" s="8"/>
      <c r="V98" s="45"/>
      <c r="W98" s="8"/>
      <c r="X98" s="8"/>
      <c r="Y98" s="8"/>
      <c r="Z98" s="24">
        <v>0</v>
      </c>
      <c r="AA98" s="24">
        <f>AA99</f>
        <v>50000</v>
      </c>
      <c r="AB98" s="24">
        <f t="shared" ref="AB98:AC98" si="51">AB99</f>
        <v>0</v>
      </c>
      <c r="AC98" s="24">
        <f t="shared" si="51"/>
        <v>50000</v>
      </c>
      <c r="AD98" s="8"/>
      <c r="AE98" s="8"/>
    </row>
    <row r="99" spans="1:31" outlineLevel="1" x14ac:dyDescent="0.3">
      <c r="A99" s="76" t="str">
        <f t="shared" si="33"/>
        <v>Закупка</v>
      </c>
      <c r="B99" s="76" t="str">
        <f t="shared" si="33"/>
        <v>исп.</v>
      </c>
      <c r="C99" s="76" t="s">
        <v>104</v>
      </c>
      <c r="D99" s="76" t="s">
        <v>108</v>
      </c>
      <c r="E99" s="92" t="str">
        <f>E98</f>
        <v>не определено ТКП</v>
      </c>
      <c r="F99" s="92" t="str">
        <f>F98</f>
        <v>ТТН №9</v>
      </c>
      <c r="G99" s="93">
        <f>G98</f>
        <v>42769</v>
      </c>
      <c r="H99" s="18"/>
      <c r="I99" s="15"/>
      <c r="J99" s="15"/>
      <c r="K99" s="9"/>
      <c r="L99" s="9"/>
      <c r="M99" s="9"/>
      <c r="N99" s="84"/>
      <c r="O99" s="17"/>
      <c r="P99" s="18"/>
      <c r="Q99" s="18"/>
      <c r="R99" s="18"/>
      <c r="S99" s="37"/>
      <c r="T99" s="70" t="s">
        <v>75</v>
      </c>
      <c r="U99" s="18"/>
      <c r="V99" s="37"/>
      <c r="W99" s="11" t="s">
        <v>44</v>
      </c>
      <c r="X99" s="18"/>
      <c r="Y99" s="18"/>
      <c r="Z99" s="9">
        <f>L98</f>
        <v>50000</v>
      </c>
      <c r="AA99" s="3">
        <f t="shared" si="48"/>
        <v>50000</v>
      </c>
      <c r="AB99" s="3">
        <f t="shared" si="49"/>
        <v>0</v>
      </c>
      <c r="AC99" s="6">
        <f>IF(AND($W99&gt;0,$AA99&gt;0,OR($S99=D$3,$S99&lt;D$3)),$AA99,0)</f>
        <v>50000</v>
      </c>
      <c r="AD99" s="18"/>
      <c r="AE99" s="18"/>
    </row>
    <row r="100" spans="1:31" outlineLevel="1" x14ac:dyDescent="0.3">
      <c r="A100" s="76" t="str">
        <f t="shared" si="33"/>
        <v>Закупка</v>
      </c>
      <c r="B100" s="76" t="str">
        <f t="shared" si="33"/>
        <v>исп.</v>
      </c>
      <c r="C100" s="76" t="s">
        <v>104</v>
      </c>
      <c r="D100" s="76" t="s">
        <v>108</v>
      </c>
      <c r="E100" s="11"/>
      <c r="F100" s="11"/>
      <c r="G100" s="18"/>
      <c r="H100" s="18"/>
      <c r="I100" s="15"/>
      <c r="J100" s="15"/>
      <c r="K100" s="9"/>
      <c r="L100" s="9"/>
      <c r="M100" s="9"/>
      <c r="N100" s="84"/>
      <c r="O100" s="17"/>
      <c r="P100" s="18"/>
      <c r="Q100" s="12"/>
      <c r="R100" s="1"/>
      <c r="S100" s="38"/>
      <c r="T100" s="71" t="s">
        <v>79</v>
      </c>
      <c r="U100" s="6">
        <f>J91</f>
        <v>5000000</v>
      </c>
      <c r="V100" s="19"/>
      <c r="W100" s="11"/>
      <c r="X100" s="11"/>
      <c r="Y100" s="11"/>
      <c r="Z100" s="9"/>
      <c r="AA100" s="3">
        <f t="shared" si="48"/>
        <v>0</v>
      </c>
      <c r="AB100" s="3">
        <f t="shared" si="49"/>
        <v>0</v>
      </c>
      <c r="AC100" s="6">
        <f>IF(AND($W100&gt;0,$AA100&gt;0,OR($S100=D$3,$S100&lt;D$3)),$AA100,0)</f>
        <v>0</v>
      </c>
      <c r="AD100" s="6"/>
      <c r="AE100" s="6"/>
    </row>
    <row r="101" spans="1:31" outlineLevel="1" x14ac:dyDescent="0.3">
      <c r="A101" s="76" t="str">
        <f t="shared" si="33"/>
        <v>Закупка</v>
      </c>
      <c r="B101" s="76" t="str">
        <f t="shared" si="33"/>
        <v>исп.</v>
      </c>
      <c r="C101" s="76" t="s">
        <v>104</v>
      </c>
      <c r="D101" s="76" t="s">
        <v>108</v>
      </c>
      <c r="E101" s="11"/>
      <c r="F101" s="11"/>
      <c r="G101" s="18"/>
      <c r="H101" s="18"/>
      <c r="I101" s="15"/>
      <c r="J101" s="15"/>
      <c r="K101" s="9"/>
      <c r="L101" s="9"/>
      <c r="M101" s="9"/>
      <c r="N101" s="84"/>
      <c r="O101" s="17"/>
      <c r="P101" s="18"/>
      <c r="Q101" s="12"/>
      <c r="R101" s="1"/>
      <c r="S101" s="37"/>
      <c r="T101" s="70" t="s">
        <v>61</v>
      </c>
      <c r="U101" s="9"/>
      <c r="V101" s="51"/>
      <c r="W101" s="11" t="s">
        <v>72</v>
      </c>
      <c r="X101" s="11" t="s">
        <v>152</v>
      </c>
      <c r="Y101" s="18">
        <v>42788</v>
      </c>
      <c r="Z101" s="9">
        <v>280000</v>
      </c>
      <c r="AA101" s="3">
        <f t="shared" si="48"/>
        <v>0</v>
      </c>
      <c r="AB101" s="3">
        <f t="shared" si="49"/>
        <v>0</v>
      </c>
      <c r="AC101" s="6">
        <f>IF(AND($W101&gt;0,$AA101&gt;0,OR($S101=D$3,$S101&lt;D$3)),$AA101,0)</f>
        <v>0</v>
      </c>
      <c r="AD101" s="18"/>
      <c r="AE101" s="18"/>
    </row>
    <row r="102" spans="1:31" outlineLevel="1" x14ac:dyDescent="0.3">
      <c r="A102" s="76" t="str">
        <f t="shared" si="33"/>
        <v>Закупка</v>
      </c>
      <c r="B102" s="76" t="str">
        <f t="shared" si="33"/>
        <v>исп.</v>
      </c>
      <c r="C102" s="76" t="s">
        <v>104</v>
      </c>
      <c r="D102" s="76" t="s">
        <v>108</v>
      </c>
      <c r="E102" s="11"/>
      <c r="F102" s="11"/>
      <c r="G102" s="18"/>
      <c r="H102" s="18"/>
      <c r="I102" s="15"/>
      <c r="J102" s="15"/>
      <c r="K102" s="9"/>
      <c r="L102" s="9"/>
      <c r="M102" s="9"/>
      <c r="N102" s="84"/>
      <c r="O102" s="17"/>
      <c r="P102" s="18"/>
      <c r="Q102" s="12"/>
      <c r="R102" s="1"/>
      <c r="S102" s="18"/>
      <c r="T102" s="18"/>
      <c r="U102" s="18"/>
      <c r="V102" s="18"/>
      <c r="W102" s="11" t="s">
        <v>73</v>
      </c>
      <c r="X102" s="11" t="s">
        <v>152</v>
      </c>
      <c r="Y102" s="18">
        <v>42806</v>
      </c>
      <c r="Z102" s="9">
        <v>200000</v>
      </c>
      <c r="AA102" s="3">
        <f t="shared" si="48"/>
        <v>0</v>
      </c>
      <c r="AB102" s="3">
        <f t="shared" si="49"/>
        <v>0</v>
      </c>
      <c r="AC102" s="6">
        <f>IF(AND($W102&gt;0,$AA102&gt;0,OR($S102=D$3,$S102&lt;D$3)),$AA102,0)</f>
        <v>0</v>
      </c>
      <c r="AD102" s="18"/>
      <c r="AE102" s="18"/>
    </row>
    <row r="103" spans="1:31" x14ac:dyDescent="0.3">
      <c r="A103" s="76"/>
      <c r="N103" s="87"/>
      <c r="P103" s="80"/>
      <c r="S103" s="80"/>
    </row>
    <row r="104" spans="1:31" outlineLevel="1" x14ac:dyDescent="0.3">
      <c r="A104" s="76"/>
      <c r="E104" t="s">
        <v>86</v>
      </c>
      <c r="N104" s="87"/>
      <c r="P104" s="80"/>
      <c r="S104" s="80"/>
    </row>
    <row r="105" spans="1:31" x14ac:dyDescent="0.3">
      <c r="A105" s="76" t="s">
        <v>3</v>
      </c>
      <c r="B105" s="1"/>
      <c r="C105" s="4" t="s">
        <v>105</v>
      </c>
      <c r="D105" s="4"/>
      <c r="E105" s="4"/>
      <c r="F105" s="4"/>
      <c r="G105" s="1"/>
      <c r="H105" s="1"/>
      <c r="I105" s="1"/>
      <c r="J105" s="6">
        <f>J106</f>
        <v>5000000</v>
      </c>
      <c r="K105" s="9">
        <v>0</v>
      </c>
      <c r="L105" s="20">
        <f>L106</f>
        <v>2500000</v>
      </c>
      <c r="M105" s="20">
        <f>M106</f>
        <v>1000000</v>
      </c>
      <c r="N105" s="83"/>
      <c r="O105" s="1"/>
      <c r="P105" s="2"/>
      <c r="Q105" s="12"/>
      <c r="R105" s="6">
        <f>R106</f>
        <v>2500000</v>
      </c>
      <c r="S105" s="2"/>
      <c r="T105" s="1"/>
      <c r="U105" s="1"/>
      <c r="V105" s="1"/>
      <c r="W105" s="1"/>
      <c r="X105" s="1"/>
      <c r="Y105" s="1"/>
      <c r="Z105" s="6">
        <f>Z106</f>
        <v>2500000</v>
      </c>
      <c r="AA105" s="6">
        <f>AA106</f>
        <v>2000000</v>
      </c>
      <c r="AB105" s="6">
        <f>AB106</f>
        <v>1000000</v>
      </c>
      <c r="AC105" s="6">
        <f>AC106</f>
        <v>2000000</v>
      </c>
      <c r="AD105" s="1"/>
      <c r="AE105" s="1"/>
    </row>
    <row r="106" spans="1:31" outlineLevel="1" x14ac:dyDescent="0.3">
      <c r="A106" s="76" t="str">
        <f t="shared" si="33"/>
        <v>Закупка</v>
      </c>
      <c r="B106" s="1" t="s">
        <v>4</v>
      </c>
      <c r="C106" s="76" t="s">
        <v>105</v>
      </c>
      <c r="D106" s="4" t="s">
        <v>109</v>
      </c>
      <c r="E106" s="4"/>
      <c r="F106" s="4"/>
      <c r="G106" s="5">
        <v>42756</v>
      </c>
      <c r="H106" s="5"/>
      <c r="I106" s="5" t="s">
        <v>19</v>
      </c>
      <c r="J106" s="6">
        <v>5000000</v>
      </c>
      <c r="K106" s="9">
        <v>0</v>
      </c>
      <c r="L106" s="20">
        <f>L107+L111+L115+L116+L121</f>
        <v>2500000</v>
      </c>
      <c r="M106" s="20">
        <f>M107+M111+M115+M116</f>
        <v>1000000</v>
      </c>
      <c r="N106" s="84"/>
      <c r="O106" s="17">
        <v>0.2</v>
      </c>
      <c r="P106" s="36"/>
      <c r="Q106" s="13"/>
      <c r="R106" s="6">
        <f>J106-L106</f>
        <v>2500000</v>
      </c>
      <c r="S106" s="5"/>
      <c r="T106" s="6"/>
      <c r="U106" s="6"/>
      <c r="V106" s="6"/>
      <c r="W106" s="1"/>
      <c r="X106" s="1"/>
      <c r="Y106" s="1"/>
      <c r="Z106" s="20">
        <f>Z108+Z112+Z125+Z126</f>
        <v>2500000</v>
      </c>
      <c r="AA106" s="6">
        <f>AA108+AA112+AA121+SUM(AA117:AA120)</f>
        <v>2000000</v>
      </c>
      <c r="AB106" s="6">
        <f t="shared" ref="AB106:AC106" si="52">AB108+AB112+AB121+SUM(AB117:AB120)</f>
        <v>1000000</v>
      </c>
      <c r="AC106" s="6">
        <f t="shared" si="52"/>
        <v>2000000</v>
      </c>
      <c r="AD106" s="6" t="s">
        <v>52</v>
      </c>
      <c r="AE106" s="6"/>
    </row>
    <row r="107" spans="1:31" outlineLevel="1" x14ac:dyDescent="0.3">
      <c r="A107" s="76" t="str">
        <f t="shared" si="33"/>
        <v>Закупка</v>
      </c>
      <c r="B107" s="76" t="str">
        <f t="shared" si="33"/>
        <v>исп.</v>
      </c>
      <c r="C107" s="76" t="s">
        <v>105</v>
      </c>
      <c r="D107" s="76" t="s">
        <v>109</v>
      </c>
      <c r="E107" s="11" t="s">
        <v>11</v>
      </c>
      <c r="F107" s="11"/>
      <c r="G107" s="18">
        <v>42756</v>
      </c>
      <c r="H107" s="18"/>
      <c r="I107" s="15" t="s">
        <v>19</v>
      </c>
      <c r="J107" s="9">
        <v>1000000</v>
      </c>
      <c r="K107" s="9">
        <v>0</v>
      </c>
      <c r="L107" s="9">
        <f>L108</f>
        <v>1000000</v>
      </c>
      <c r="M107" s="9">
        <f>M108</f>
        <v>500000</v>
      </c>
      <c r="N107" s="84"/>
      <c r="O107" s="17"/>
      <c r="P107" s="18">
        <v>42766</v>
      </c>
      <c r="Q107" s="12">
        <f>IF(R107&gt;0,$D$3-P107,0)</f>
        <v>0</v>
      </c>
      <c r="R107" s="3">
        <f>J107-L107</f>
        <v>0</v>
      </c>
      <c r="S107" s="18"/>
      <c r="T107" s="18"/>
      <c r="U107" s="3"/>
      <c r="V107" s="19"/>
      <c r="W107" s="1"/>
      <c r="X107" s="1"/>
      <c r="Y107" s="1"/>
      <c r="Z107" s="9"/>
      <c r="AA107" s="3"/>
      <c r="AB107" s="3">
        <f t="shared" ref="AB107:AB115" si="53">IF(AND(T107="аванс",AA107&gt;0),AA107,0)</f>
        <v>0</v>
      </c>
      <c r="AC107" s="6">
        <f>IF(AND($W107&gt;0,$AA107&gt;0,OR($S107=D$3,$S107&lt;D$3)),$AA107,0)</f>
        <v>0</v>
      </c>
      <c r="AD107" s="3"/>
      <c r="AE107" s="3"/>
    </row>
    <row r="108" spans="1:31" outlineLevel="1" x14ac:dyDescent="0.3">
      <c r="A108" s="76" t="str">
        <f t="shared" si="33"/>
        <v>Закупка</v>
      </c>
      <c r="B108" s="76" t="str">
        <f t="shared" si="33"/>
        <v>исп.</v>
      </c>
      <c r="C108" s="76" t="s">
        <v>105</v>
      </c>
      <c r="D108" s="76" t="s">
        <v>109</v>
      </c>
      <c r="E108" s="92" t="str">
        <f t="shared" ref="E108:E110" si="54">E107</f>
        <v>ТКП №1</v>
      </c>
      <c r="F108" s="7" t="s">
        <v>81</v>
      </c>
      <c r="G108" s="8">
        <v>42755</v>
      </c>
      <c r="H108" s="8"/>
      <c r="I108" s="23" t="s">
        <v>19</v>
      </c>
      <c r="J108" s="23"/>
      <c r="K108" s="24"/>
      <c r="L108" s="24">
        <v>1000000</v>
      </c>
      <c r="M108" s="24">
        <v>500000</v>
      </c>
      <c r="N108" s="85"/>
      <c r="O108" s="41">
        <v>0.2</v>
      </c>
      <c r="P108" s="8">
        <f>P107</f>
        <v>42766</v>
      </c>
      <c r="Q108" s="42">
        <f>IF(R108&gt;0,$D$3-P108,0)</f>
        <v>0</v>
      </c>
      <c r="R108" s="24"/>
      <c r="S108" s="8"/>
      <c r="T108" s="8"/>
      <c r="U108" s="24"/>
      <c r="V108" s="43"/>
      <c r="W108" s="7"/>
      <c r="X108" s="7"/>
      <c r="Y108" s="7"/>
      <c r="Z108" s="24">
        <f>Z109+Z110</f>
        <v>1000000</v>
      </c>
      <c r="AA108" s="44">
        <f>AA109+AA110</f>
        <v>0</v>
      </c>
      <c r="AB108" s="24">
        <f t="shared" ref="AB108" si="55">AB109+AB110</f>
        <v>0</v>
      </c>
      <c r="AC108" s="24">
        <f t="shared" ref="AC108" si="56">AC109+AC110</f>
        <v>0</v>
      </c>
      <c r="AD108" s="44"/>
      <c r="AE108" s="44"/>
    </row>
    <row r="109" spans="1:31" outlineLevel="1" x14ac:dyDescent="0.3">
      <c r="A109" s="76" t="str">
        <f t="shared" si="33"/>
        <v>Закупка</v>
      </c>
      <c r="B109" s="76" t="str">
        <f t="shared" si="33"/>
        <v>исп.</v>
      </c>
      <c r="C109" s="76" t="s">
        <v>105</v>
      </c>
      <c r="D109" s="76" t="s">
        <v>109</v>
      </c>
      <c r="E109" s="92" t="str">
        <f t="shared" si="54"/>
        <v>ТКП №1</v>
      </c>
      <c r="F109" s="92" t="str">
        <f>F108</f>
        <v>ТТН №1</v>
      </c>
      <c r="G109" s="93">
        <f>G108</f>
        <v>42755</v>
      </c>
      <c r="H109" s="18"/>
      <c r="I109" s="15"/>
      <c r="J109" s="15"/>
      <c r="K109" s="9"/>
      <c r="L109" s="9"/>
      <c r="M109" s="9"/>
      <c r="N109" s="84"/>
      <c r="O109" s="17"/>
      <c r="P109" s="18"/>
      <c r="Q109" s="12"/>
      <c r="R109" s="3"/>
      <c r="S109" s="18"/>
      <c r="T109" s="18"/>
      <c r="U109" s="3"/>
      <c r="V109" s="19"/>
      <c r="W109" s="32" t="s">
        <v>83</v>
      </c>
      <c r="X109" s="32" t="s">
        <v>152</v>
      </c>
      <c r="Y109" s="33">
        <v>42745</v>
      </c>
      <c r="Z109" s="25">
        <v>500000</v>
      </c>
      <c r="AA109" s="3">
        <f t="shared" ref="AA109:AA110" si="57">IF(Y109&gt;0,0,Z109)</f>
        <v>0</v>
      </c>
      <c r="AB109" s="3">
        <f t="shared" si="53"/>
        <v>0</v>
      </c>
      <c r="AC109" s="6">
        <f>IF(AND($W109&gt;0,$AA109&gt;0,OR($S109=D$3,$S109&lt;D$3)),$AA109,0)</f>
        <v>0</v>
      </c>
      <c r="AD109" s="3"/>
      <c r="AE109" s="3"/>
    </row>
    <row r="110" spans="1:31" outlineLevel="1" x14ac:dyDescent="0.3">
      <c r="A110" s="76" t="str">
        <f t="shared" si="33"/>
        <v>Закупка</v>
      </c>
      <c r="B110" s="76" t="str">
        <f t="shared" si="33"/>
        <v>исп.</v>
      </c>
      <c r="C110" s="76" t="s">
        <v>105</v>
      </c>
      <c r="D110" s="76" t="s">
        <v>109</v>
      </c>
      <c r="E110" s="92" t="str">
        <f t="shared" si="54"/>
        <v>ТКП №1</v>
      </c>
      <c r="F110" s="92" t="str">
        <f>F109</f>
        <v>ТТН №1</v>
      </c>
      <c r="G110" s="93">
        <f>G109</f>
        <v>42755</v>
      </c>
      <c r="H110" s="18"/>
      <c r="I110" s="15"/>
      <c r="J110" s="15"/>
      <c r="K110" s="9"/>
      <c r="L110" s="9"/>
      <c r="M110" s="9"/>
      <c r="N110" s="84"/>
      <c r="O110" s="17"/>
      <c r="P110" s="18"/>
      <c r="Q110" s="12"/>
      <c r="R110" s="3"/>
      <c r="S110" s="18">
        <f>G108+31</f>
        <v>42786</v>
      </c>
      <c r="T110" s="18"/>
      <c r="U110" s="3">
        <f>0.5*L108</f>
        <v>500000</v>
      </c>
      <c r="V110" s="19">
        <f>IF(Y110&gt;0,Y110-S110,$D$3-S110)</f>
        <v>-10</v>
      </c>
      <c r="W110" s="11" t="s">
        <v>20</v>
      </c>
      <c r="X110" s="11" t="s">
        <v>152</v>
      </c>
      <c r="Y110" s="18">
        <v>42776</v>
      </c>
      <c r="Z110" s="9">
        <v>500000</v>
      </c>
      <c r="AA110" s="3">
        <f t="shared" si="57"/>
        <v>0</v>
      </c>
      <c r="AB110" s="3">
        <f t="shared" si="53"/>
        <v>0</v>
      </c>
      <c r="AC110" s="6">
        <f>IF(AND($W110&gt;0,$AA110&gt;0,OR($S110=D$3,$S110&lt;D$3)),$AA110,0)</f>
        <v>0</v>
      </c>
      <c r="AD110" s="3"/>
      <c r="AE110" s="3"/>
    </row>
    <row r="111" spans="1:31" outlineLevel="1" x14ac:dyDescent="0.3">
      <c r="A111" s="76" t="str">
        <f t="shared" si="33"/>
        <v>Закупка</v>
      </c>
      <c r="B111" s="76" t="str">
        <f t="shared" si="33"/>
        <v>исп.</v>
      </c>
      <c r="C111" s="76" t="s">
        <v>105</v>
      </c>
      <c r="D111" s="76" t="s">
        <v>109</v>
      </c>
      <c r="E111" s="11" t="s">
        <v>12</v>
      </c>
      <c r="F111" s="11"/>
      <c r="G111" s="18">
        <v>42756</v>
      </c>
      <c r="H111" s="18"/>
      <c r="I111" s="15" t="s">
        <v>19</v>
      </c>
      <c r="J111" s="9">
        <v>1000000</v>
      </c>
      <c r="K111" s="9"/>
      <c r="L111" s="9">
        <f>L112</f>
        <v>1000000</v>
      </c>
      <c r="M111" s="9">
        <f>M112</f>
        <v>500000</v>
      </c>
      <c r="N111" s="84"/>
      <c r="O111" s="17"/>
      <c r="P111" s="18">
        <v>42794</v>
      </c>
      <c r="Q111" s="12">
        <f>IF(R111&gt;0,$D$3-P111,0)</f>
        <v>0</v>
      </c>
      <c r="R111" s="3">
        <f>J111-L111</f>
        <v>0</v>
      </c>
      <c r="S111" s="18"/>
      <c r="T111" s="18"/>
      <c r="U111" s="3"/>
      <c r="V111" s="19"/>
      <c r="W111" s="11"/>
      <c r="X111" s="11"/>
      <c r="Y111" s="11"/>
      <c r="Z111" s="9"/>
      <c r="AA111" s="3">
        <f t="shared" ref="AA111" si="58">IF(Y111&gt;0,0,Z111)</f>
        <v>0</v>
      </c>
      <c r="AB111" s="3">
        <f t="shared" si="53"/>
        <v>0</v>
      </c>
      <c r="AC111" s="6">
        <f>IF(AND($W111&gt;0,$AA111&gt;0,OR($S111=D$3,$S111&lt;D$3)),$AA111,0)</f>
        <v>0</v>
      </c>
      <c r="AD111" s="3"/>
      <c r="AE111" s="3"/>
    </row>
    <row r="112" spans="1:31" outlineLevel="1" x14ac:dyDescent="0.3">
      <c r="A112" s="76" t="str">
        <f t="shared" si="33"/>
        <v>Закупка</v>
      </c>
      <c r="B112" s="76" t="str">
        <f t="shared" si="33"/>
        <v>исп.</v>
      </c>
      <c r="C112" s="76" t="s">
        <v>105</v>
      </c>
      <c r="D112" s="76" t="s">
        <v>109</v>
      </c>
      <c r="E112" s="92" t="str">
        <f t="shared" ref="E112:E114" si="59">E111</f>
        <v>ТКП №2</v>
      </c>
      <c r="F112" s="7" t="s">
        <v>82</v>
      </c>
      <c r="G112" s="8">
        <v>42789</v>
      </c>
      <c r="H112" s="8"/>
      <c r="I112" s="23" t="s">
        <v>19</v>
      </c>
      <c r="J112" s="23"/>
      <c r="K112" s="24"/>
      <c r="L112" s="24">
        <v>1000000</v>
      </c>
      <c r="M112" s="24">
        <v>500000</v>
      </c>
      <c r="N112" s="85"/>
      <c r="O112" s="41">
        <v>0.2</v>
      </c>
      <c r="P112" s="8">
        <v>42794</v>
      </c>
      <c r="Q112" s="42">
        <f>G112-P112</f>
        <v>-5</v>
      </c>
      <c r="R112" s="7"/>
      <c r="S112" s="8"/>
      <c r="T112" s="8"/>
      <c r="U112" s="7"/>
      <c r="V112" s="43"/>
      <c r="W112" s="7"/>
      <c r="X112" s="7"/>
      <c r="Y112" s="7"/>
      <c r="Z112" s="24">
        <f>Z113</f>
        <v>500000</v>
      </c>
      <c r="AA112" s="44">
        <f>AA113+AA114</f>
        <v>500000</v>
      </c>
      <c r="AB112" s="24">
        <f t="shared" ref="AB112:AC112" si="60">AB113+AB114</f>
        <v>0</v>
      </c>
      <c r="AC112" s="24">
        <f t="shared" si="60"/>
        <v>500000</v>
      </c>
      <c r="AD112" s="44"/>
      <c r="AE112" s="44"/>
    </row>
    <row r="113" spans="1:31" outlineLevel="1" x14ac:dyDescent="0.3">
      <c r="A113" s="76" t="str">
        <f t="shared" si="33"/>
        <v>Закупка</v>
      </c>
      <c r="B113" s="76" t="str">
        <f t="shared" si="33"/>
        <v>исп.</v>
      </c>
      <c r="C113" s="76" t="s">
        <v>105</v>
      </c>
      <c r="D113" s="76" t="s">
        <v>109</v>
      </c>
      <c r="E113" s="92" t="str">
        <f t="shared" si="59"/>
        <v>ТКП №2</v>
      </c>
      <c r="F113" s="92" t="str">
        <f>F112</f>
        <v>ТТН №2</v>
      </c>
      <c r="G113" s="93">
        <f>G112</f>
        <v>42789</v>
      </c>
      <c r="H113" s="18"/>
      <c r="I113" s="15"/>
      <c r="J113" s="15"/>
      <c r="K113" s="9"/>
      <c r="L113" s="9"/>
      <c r="M113" s="9"/>
      <c r="N113" s="84"/>
      <c r="O113" s="17"/>
      <c r="P113" s="18"/>
      <c r="Q113" s="12"/>
      <c r="R113" s="1"/>
      <c r="S113" s="18"/>
      <c r="T113" s="18"/>
      <c r="U113" s="3"/>
      <c r="V113" s="19"/>
      <c r="W113" s="32" t="s">
        <v>64</v>
      </c>
      <c r="X113" s="32" t="s">
        <v>152</v>
      </c>
      <c r="Y113" s="33">
        <v>42775</v>
      </c>
      <c r="Z113" s="25">
        <v>500000</v>
      </c>
      <c r="AA113" s="3">
        <f t="shared" ref="AA113:AA115" si="61">IF(Y113&gt;0,0,Z113)</f>
        <v>0</v>
      </c>
      <c r="AB113" s="3">
        <f t="shared" si="53"/>
        <v>0</v>
      </c>
      <c r="AC113" s="6">
        <f t="shared" ref="AC113:AC120" si="62">IF(AND($W113&gt;0,$AA113&gt;0,OR($S113=D$3,$S113&lt;D$3)),$AA113,0)</f>
        <v>0</v>
      </c>
      <c r="AD113" s="3"/>
      <c r="AE113" s="3"/>
    </row>
    <row r="114" spans="1:31" outlineLevel="1" x14ac:dyDescent="0.3">
      <c r="A114" s="76" t="str">
        <f t="shared" si="33"/>
        <v>Закупка</v>
      </c>
      <c r="B114" s="76" t="str">
        <f t="shared" si="33"/>
        <v>исп.</v>
      </c>
      <c r="C114" s="76" t="s">
        <v>105</v>
      </c>
      <c r="D114" s="76" t="s">
        <v>109</v>
      </c>
      <c r="E114" s="92" t="str">
        <f t="shared" si="59"/>
        <v>ТКП №2</v>
      </c>
      <c r="F114" s="92" t="str">
        <f>F113</f>
        <v>ТТН №2</v>
      </c>
      <c r="G114" s="93">
        <f>G113</f>
        <v>42789</v>
      </c>
      <c r="H114" s="18"/>
      <c r="I114" s="15"/>
      <c r="J114" s="15"/>
      <c r="K114" s="9"/>
      <c r="L114" s="9"/>
      <c r="M114" s="9"/>
      <c r="N114" s="84"/>
      <c r="O114" s="17"/>
      <c r="P114" s="18"/>
      <c r="Q114" s="12"/>
      <c r="R114" s="1"/>
      <c r="S114" s="18">
        <f>G112+31</f>
        <v>42820</v>
      </c>
      <c r="T114" s="18"/>
      <c r="U114" s="3">
        <f>0.5*L112</f>
        <v>500000</v>
      </c>
      <c r="V114" s="19">
        <f>IF(Y114&gt;0,Y114-S114,$D$3-S114)</f>
        <v>19</v>
      </c>
      <c r="W114" s="11" t="s">
        <v>44</v>
      </c>
      <c r="X114" s="11"/>
      <c r="Y114" s="11"/>
      <c r="Z114" s="9">
        <f t="shared" ref="Z114" si="63">U114</f>
        <v>500000</v>
      </c>
      <c r="AA114" s="3">
        <f t="shared" si="61"/>
        <v>500000</v>
      </c>
      <c r="AB114" s="3">
        <f t="shared" si="53"/>
        <v>0</v>
      </c>
      <c r="AC114" s="6">
        <f t="shared" si="62"/>
        <v>500000</v>
      </c>
      <c r="AD114" s="3"/>
      <c r="AE114" s="3"/>
    </row>
    <row r="115" spans="1:31" outlineLevel="1" x14ac:dyDescent="0.3">
      <c r="A115" s="76" t="str">
        <f t="shared" si="33"/>
        <v>Закупка</v>
      </c>
      <c r="B115" s="76" t="str">
        <f t="shared" si="33"/>
        <v>исп.</v>
      </c>
      <c r="C115" s="76" t="s">
        <v>105</v>
      </c>
      <c r="D115" s="76" t="s">
        <v>109</v>
      </c>
      <c r="E115" s="11" t="s">
        <v>13</v>
      </c>
      <c r="F115" s="11"/>
      <c r="G115" s="18">
        <v>42756</v>
      </c>
      <c r="H115" s="18"/>
      <c r="I115" s="15" t="s">
        <v>19</v>
      </c>
      <c r="J115" s="9">
        <v>1000000</v>
      </c>
      <c r="K115" s="9"/>
      <c r="L115" s="9"/>
      <c r="M115" s="9"/>
      <c r="N115" s="84"/>
      <c r="O115" s="17"/>
      <c r="P115" s="18">
        <v>42825</v>
      </c>
      <c r="Q115" s="12">
        <f>IF(R115&gt;0,$D$3-P115,0)</f>
        <v>14</v>
      </c>
      <c r="R115" s="3">
        <f>J115-L115</f>
        <v>1000000</v>
      </c>
      <c r="S115" s="18"/>
      <c r="T115" s="18"/>
      <c r="U115" s="3"/>
      <c r="V115" s="19"/>
      <c r="W115" s="11"/>
      <c r="X115" s="11"/>
      <c r="Y115" s="11"/>
      <c r="Z115" s="9"/>
      <c r="AA115" s="3">
        <f t="shared" si="61"/>
        <v>0</v>
      </c>
      <c r="AB115" s="3">
        <f t="shared" si="53"/>
        <v>0</v>
      </c>
      <c r="AC115" s="6">
        <f t="shared" si="62"/>
        <v>0</v>
      </c>
      <c r="AD115" s="3"/>
      <c r="AE115" s="3"/>
    </row>
    <row r="116" spans="1:31" outlineLevel="1" x14ac:dyDescent="0.3">
      <c r="A116" s="76" t="str">
        <f t="shared" si="33"/>
        <v>Закупка</v>
      </c>
      <c r="B116" s="76" t="str">
        <f t="shared" si="33"/>
        <v>исп.</v>
      </c>
      <c r="C116" s="76" t="s">
        <v>105</v>
      </c>
      <c r="D116" s="76" t="s">
        <v>109</v>
      </c>
      <c r="E116" s="11" t="s">
        <v>14</v>
      </c>
      <c r="F116" s="11"/>
      <c r="G116" s="18">
        <v>42756</v>
      </c>
      <c r="H116" s="18"/>
      <c r="I116" s="15" t="s">
        <v>19</v>
      </c>
      <c r="J116" s="9">
        <v>1000000</v>
      </c>
      <c r="K116" s="9"/>
      <c r="L116" s="9"/>
      <c r="M116" s="9"/>
      <c r="N116" s="84"/>
      <c r="O116" s="17"/>
      <c r="P116" s="18">
        <v>42855</v>
      </c>
      <c r="Q116" s="12">
        <f>IF(R116&gt;0,$D$3-P116,0)</f>
        <v>-16</v>
      </c>
      <c r="R116" s="3">
        <f>J116-L116</f>
        <v>1000000</v>
      </c>
      <c r="S116" s="18"/>
      <c r="T116" s="18"/>
      <c r="U116" s="3"/>
      <c r="V116" s="19"/>
      <c r="W116" s="11"/>
      <c r="X116" s="11"/>
      <c r="Y116" s="11"/>
      <c r="Z116" s="9"/>
      <c r="AA116" s="3"/>
      <c r="AB116" s="3"/>
      <c r="AC116" s="6">
        <f t="shared" si="62"/>
        <v>0</v>
      </c>
      <c r="AD116" s="3"/>
      <c r="AE116" s="3"/>
    </row>
    <row r="117" spans="1:31" outlineLevel="1" x14ac:dyDescent="0.3">
      <c r="A117" s="76" t="str">
        <f t="shared" si="33"/>
        <v>Закупка</v>
      </c>
      <c r="B117" s="76" t="str">
        <f t="shared" si="33"/>
        <v>исп.</v>
      </c>
      <c r="C117" s="76" t="s">
        <v>105</v>
      </c>
      <c r="D117" s="76" t="s">
        <v>109</v>
      </c>
      <c r="E117" s="11" t="s">
        <v>57</v>
      </c>
      <c r="F117" s="11"/>
      <c r="G117" s="18">
        <v>42756</v>
      </c>
      <c r="H117" s="18"/>
      <c r="I117" s="15" t="s">
        <v>19</v>
      </c>
      <c r="J117" s="9"/>
      <c r="K117" s="9"/>
      <c r="L117" s="9"/>
      <c r="M117" s="9"/>
      <c r="N117" s="84"/>
      <c r="O117" s="17"/>
      <c r="P117" s="18"/>
      <c r="Q117" s="12"/>
      <c r="R117" s="3"/>
      <c r="S117" s="18">
        <v>42745</v>
      </c>
      <c r="T117" s="18" t="s">
        <v>49</v>
      </c>
      <c r="U117" s="3">
        <f>J96*0.5</f>
        <v>0</v>
      </c>
      <c r="V117" s="19">
        <f>IF(Y117&gt;0,Y117-S117,$D$3-S117)</f>
        <v>0</v>
      </c>
      <c r="W117" s="11" t="s">
        <v>83</v>
      </c>
      <c r="X117" s="11" t="s">
        <v>152</v>
      </c>
      <c r="Y117" s="18">
        <v>42745</v>
      </c>
      <c r="Z117" s="9">
        <v>500000</v>
      </c>
      <c r="AA117" s="3">
        <f>IF(Y117&gt;0,0,Z117)</f>
        <v>0</v>
      </c>
      <c r="AB117" s="3">
        <f>IF(AND(T117="аванс",AA117&gt;0),AA117,0)</f>
        <v>0</v>
      </c>
      <c r="AC117" s="6">
        <f t="shared" si="62"/>
        <v>0</v>
      </c>
      <c r="AD117" s="3"/>
      <c r="AE117" s="3"/>
    </row>
    <row r="118" spans="1:31" outlineLevel="1" x14ac:dyDescent="0.3">
      <c r="A118" s="76" t="str">
        <f t="shared" si="33"/>
        <v>Закупка</v>
      </c>
      <c r="B118" s="76" t="str">
        <f t="shared" si="33"/>
        <v>исп.</v>
      </c>
      <c r="C118" s="76" t="s">
        <v>105</v>
      </c>
      <c r="D118" s="76" t="s">
        <v>109</v>
      </c>
      <c r="E118" s="11" t="s">
        <v>58</v>
      </c>
      <c r="F118" s="11"/>
      <c r="G118" s="18">
        <v>42756</v>
      </c>
      <c r="H118" s="18"/>
      <c r="I118" s="15" t="s">
        <v>19</v>
      </c>
      <c r="J118" s="9"/>
      <c r="K118" s="9"/>
      <c r="L118" s="9"/>
      <c r="M118" s="9"/>
      <c r="N118" s="84"/>
      <c r="O118" s="17"/>
      <c r="P118" s="18"/>
      <c r="Q118" s="12"/>
      <c r="R118" s="3"/>
      <c r="S118" s="18">
        <v>42776</v>
      </c>
      <c r="T118" s="18" t="s">
        <v>49</v>
      </c>
      <c r="U118" s="3">
        <f>J97*0.5</f>
        <v>0</v>
      </c>
      <c r="V118" s="19">
        <f>IF(Y118&gt;0,Y118-S118,$D$3-S118)</f>
        <v>-1</v>
      </c>
      <c r="W118" s="11" t="s">
        <v>64</v>
      </c>
      <c r="X118" s="11" t="s">
        <v>152</v>
      </c>
      <c r="Y118" s="18">
        <v>42775</v>
      </c>
      <c r="Z118" s="9">
        <v>500000</v>
      </c>
      <c r="AA118" s="3">
        <f t="shared" ref="AA118:AA122" si="64">IF(Y118&gt;0,0,Z118)</f>
        <v>0</v>
      </c>
      <c r="AB118" s="3">
        <f t="shared" ref="AB118:AB122" si="65">IF(AND(T118="аванс",AA118&gt;0),AA118,0)</f>
        <v>0</v>
      </c>
      <c r="AC118" s="6">
        <f t="shared" si="62"/>
        <v>0</v>
      </c>
      <c r="AD118" s="3"/>
      <c r="AE118" s="3"/>
    </row>
    <row r="119" spans="1:31" outlineLevel="1" x14ac:dyDescent="0.3">
      <c r="A119" s="76" t="str">
        <f t="shared" si="33"/>
        <v>Закупка</v>
      </c>
      <c r="B119" s="76" t="str">
        <f t="shared" si="33"/>
        <v>исп.</v>
      </c>
      <c r="C119" s="76" t="s">
        <v>105</v>
      </c>
      <c r="D119" s="76" t="s">
        <v>109</v>
      </c>
      <c r="E119" s="11" t="s">
        <v>59</v>
      </c>
      <c r="F119" s="11"/>
      <c r="G119" s="18">
        <v>42756</v>
      </c>
      <c r="H119" s="18"/>
      <c r="I119" s="15" t="s">
        <v>19</v>
      </c>
      <c r="J119" s="9"/>
      <c r="K119" s="9"/>
      <c r="L119" s="9"/>
      <c r="M119" s="9"/>
      <c r="N119" s="84"/>
      <c r="O119" s="17"/>
      <c r="P119" s="18"/>
      <c r="Q119" s="12"/>
      <c r="R119" s="3"/>
      <c r="S119" s="18">
        <v>42804</v>
      </c>
      <c r="T119" s="18" t="s">
        <v>49</v>
      </c>
      <c r="U119" s="3">
        <f>J98*0.5</f>
        <v>0</v>
      </c>
      <c r="V119" s="19">
        <f>IF(Y119&gt;0,Y119-S119,$D$3-S119)</f>
        <v>35</v>
      </c>
      <c r="W119" s="11" t="s">
        <v>44</v>
      </c>
      <c r="X119" s="11"/>
      <c r="Y119" s="18"/>
      <c r="Z119" s="9">
        <v>500000</v>
      </c>
      <c r="AA119" s="3">
        <f t="shared" si="64"/>
        <v>500000</v>
      </c>
      <c r="AB119" s="3">
        <f t="shared" si="65"/>
        <v>500000</v>
      </c>
      <c r="AC119" s="6">
        <f t="shared" si="62"/>
        <v>500000</v>
      </c>
      <c r="AD119" s="3"/>
      <c r="AE119" s="3"/>
    </row>
    <row r="120" spans="1:31" outlineLevel="1" x14ac:dyDescent="0.3">
      <c r="A120" s="76" t="str">
        <f t="shared" si="33"/>
        <v>Закупка</v>
      </c>
      <c r="B120" s="76" t="str">
        <f t="shared" si="33"/>
        <v>исп.</v>
      </c>
      <c r="C120" s="76" t="s">
        <v>105</v>
      </c>
      <c r="D120" s="76" t="s">
        <v>109</v>
      </c>
      <c r="E120" s="11" t="s">
        <v>60</v>
      </c>
      <c r="F120" s="11"/>
      <c r="G120" s="18">
        <v>42756</v>
      </c>
      <c r="H120" s="18"/>
      <c r="I120" s="15" t="s">
        <v>19</v>
      </c>
      <c r="J120" s="9"/>
      <c r="K120" s="9"/>
      <c r="L120" s="9"/>
      <c r="M120" s="9"/>
      <c r="N120" s="84"/>
      <c r="O120" s="17"/>
      <c r="P120" s="18"/>
      <c r="Q120" s="12"/>
      <c r="R120" s="3"/>
      <c r="S120" s="18">
        <v>42835</v>
      </c>
      <c r="T120" s="18" t="s">
        <v>49</v>
      </c>
      <c r="U120" s="3">
        <f>J99*0.5</f>
        <v>0</v>
      </c>
      <c r="V120" s="19">
        <f>IF(Y120&gt;0,Y120-S120,$D$3-S120)</f>
        <v>4</v>
      </c>
      <c r="W120" s="11" t="s">
        <v>44</v>
      </c>
      <c r="X120" s="11"/>
      <c r="Y120" s="18"/>
      <c r="Z120" s="9">
        <v>500000</v>
      </c>
      <c r="AA120" s="3">
        <f t="shared" si="64"/>
        <v>500000</v>
      </c>
      <c r="AB120" s="3">
        <f t="shared" si="65"/>
        <v>500000</v>
      </c>
      <c r="AC120" s="6">
        <f t="shared" si="62"/>
        <v>500000</v>
      </c>
      <c r="AD120" s="3"/>
      <c r="AE120" s="3"/>
    </row>
    <row r="121" spans="1:31" outlineLevel="1" x14ac:dyDescent="0.3">
      <c r="A121" s="76" t="str">
        <f t="shared" si="33"/>
        <v>Закупка</v>
      </c>
      <c r="B121" s="76" t="str">
        <f t="shared" si="33"/>
        <v>исп.</v>
      </c>
      <c r="C121" s="76" t="s">
        <v>105</v>
      </c>
      <c r="D121" s="76" t="s">
        <v>109</v>
      </c>
      <c r="E121" s="72" t="s">
        <v>74</v>
      </c>
      <c r="F121" s="7" t="s">
        <v>16</v>
      </c>
      <c r="G121" s="8">
        <v>42806</v>
      </c>
      <c r="H121" s="8"/>
      <c r="I121" s="23" t="s">
        <v>19</v>
      </c>
      <c r="J121" s="23"/>
      <c r="K121" s="24"/>
      <c r="L121" s="24">
        <v>500000</v>
      </c>
      <c r="M121" s="24"/>
      <c r="N121" s="85"/>
      <c r="O121" s="41">
        <v>0.2</v>
      </c>
      <c r="P121" s="8"/>
      <c r="Q121" s="8"/>
      <c r="R121" s="8"/>
      <c r="S121" s="45"/>
      <c r="T121" s="45"/>
      <c r="U121" s="8"/>
      <c r="V121" s="45"/>
      <c r="W121" s="8"/>
      <c r="X121" s="8"/>
      <c r="Y121" s="8"/>
      <c r="Z121" s="24">
        <v>0</v>
      </c>
      <c r="AA121" s="24">
        <f>AA122</f>
        <v>500000</v>
      </c>
      <c r="AB121" s="24">
        <f>AB122</f>
        <v>0</v>
      </c>
      <c r="AC121" s="24">
        <f>AC122</f>
        <v>500000</v>
      </c>
      <c r="AD121" s="8"/>
      <c r="AE121" s="8"/>
    </row>
    <row r="122" spans="1:31" outlineLevel="1" x14ac:dyDescent="0.3">
      <c r="A122" s="76" t="str">
        <f t="shared" si="33"/>
        <v>Закупка</v>
      </c>
      <c r="B122" s="76" t="str">
        <f t="shared" si="33"/>
        <v>исп.</v>
      </c>
      <c r="C122" s="76" t="s">
        <v>105</v>
      </c>
      <c r="D122" s="76" t="s">
        <v>109</v>
      </c>
      <c r="E122" s="92" t="str">
        <f>E121</f>
        <v>не определено ТКП</v>
      </c>
      <c r="F122" s="92" t="str">
        <f>F121</f>
        <v>ТТН №7</v>
      </c>
      <c r="G122" s="93">
        <f>G121</f>
        <v>42806</v>
      </c>
      <c r="H122" s="18"/>
      <c r="I122" s="15"/>
      <c r="J122" s="15"/>
      <c r="K122" s="9"/>
      <c r="L122" s="9"/>
      <c r="M122" s="9"/>
      <c r="N122" s="84"/>
      <c r="O122" s="17"/>
      <c r="P122" s="18"/>
      <c r="Q122" s="18"/>
      <c r="R122" s="18"/>
      <c r="S122" s="37"/>
      <c r="T122" s="53" t="s">
        <v>75</v>
      </c>
      <c r="U122" s="18"/>
      <c r="V122" s="37"/>
      <c r="W122" s="11" t="s">
        <v>44</v>
      </c>
      <c r="X122" s="18"/>
      <c r="Y122" s="18"/>
      <c r="Z122" s="9">
        <f>L121</f>
        <v>500000</v>
      </c>
      <c r="AA122" s="3">
        <f t="shared" si="64"/>
        <v>500000</v>
      </c>
      <c r="AB122" s="3">
        <f t="shared" si="65"/>
        <v>0</v>
      </c>
      <c r="AC122" s="6">
        <f>IF(AND($W122&gt;0,$AA122&gt;0,OR($S122=D$3,$S122&lt;D$3)),$AA122,0)</f>
        <v>500000</v>
      </c>
      <c r="AD122" s="18"/>
      <c r="AE122" s="18"/>
    </row>
    <row r="123" spans="1:31" outlineLevel="1" x14ac:dyDescent="0.3">
      <c r="A123" s="76" t="str">
        <f t="shared" si="33"/>
        <v>Закупка</v>
      </c>
      <c r="B123" s="76" t="str">
        <f t="shared" si="33"/>
        <v>исп.</v>
      </c>
      <c r="C123" s="76" t="s">
        <v>105</v>
      </c>
      <c r="D123" s="76" t="s">
        <v>109</v>
      </c>
      <c r="E123" s="73" t="s">
        <v>78</v>
      </c>
      <c r="F123" s="22"/>
      <c r="G123" s="36"/>
      <c r="H123" s="36"/>
      <c r="I123" s="36"/>
      <c r="J123" s="20">
        <f>J106-J107-J111-J115-J116</f>
        <v>1000000</v>
      </c>
      <c r="K123" s="9"/>
      <c r="L123" s="9"/>
      <c r="M123" s="9"/>
      <c r="N123" s="84"/>
      <c r="O123" s="17"/>
      <c r="P123" s="18"/>
      <c r="Q123" s="12"/>
      <c r="R123" s="3"/>
      <c r="S123" s="18"/>
      <c r="T123" s="53"/>
      <c r="U123" s="3"/>
      <c r="V123" s="19"/>
      <c r="W123" s="1"/>
      <c r="X123" s="1"/>
      <c r="Y123" s="1"/>
      <c r="Z123" s="9"/>
      <c r="AA123" s="3"/>
      <c r="AB123" s="3"/>
      <c r="AC123" s="6">
        <f>IF(AND($W123&gt;0,$AA123&gt;0,OR($S123=D$3,$S123&lt;D$3)),$AA123,0)</f>
        <v>0</v>
      </c>
      <c r="AD123" s="3"/>
      <c r="AE123" s="3"/>
    </row>
    <row r="124" spans="1:31" outlineLevel="1" x14ac:dyDescent="0.3">
      <c r="A124" s="76" t="str">
        <f t="shared" si="33"/>
        <v>Закупка</v>
      </c>
      <c r="B124" s="76" t="str">
        <f t="shared" si="33"/>
        <v>исп.</v>
      </c>
      <c r="C124" s="76" t="s">
        <v>105</v>
      </c>
      <c r="D124" s="76" t="s">
        <v>109</v>
      </c>
      <c r="E124" s="11"/>
      <c r="F124" s="11"/>
      <c r="G124" s="18"/>
      <c r="H124" s="18"/>
      <c r="I124" s="15"/>
      <c r="J124" s="15"/>
      <c r="K124" s="9"/>
      <c r="L124" s="9"/>
      <c r="M124" s="9"/>
      <c r="N124" s="84"/>
      <c r="O124" s="17"/>
      <c r="P124" s="18"/>
      <c r="Q124" s="12"/>
      <c r="R124" s="1"/>
      <c r="S124" s="38"/>
      <c r="T124" s="69" t="s">
        <v>79</v>
      </c>
      <c r="U124" s="6">
        <v>1000000</v>
      </c>
      <c r="V124" s="19"/>
      <c r="W124" s="11"/>
      <c r="X124" s="11"/>
      <c r="Y124" s="11"/>
      <c r="Z124" s="9"/>
      <c r="AA124" s="3">
        <f t="shared" ref="AA124:AA126" si="66">IF(Y124&gt;0,0,Z124)</f>
        <v>0</v>
      </c>
      <c r="AB124" s="3">
        <f t="shared" ref="AB124:AB126" si="67">IF(AND(T124="аванс",AA124&gt;0),AA124,0)</f>
        <v>0</v>
      </c>
      <c r="AC124" s="6">
        <f>IF(AND($W124&gt;0,$AA124&gt;0,OR($S124=D$3,$S124&lt;D$3)),$AA124,0)</f>
        <v>0</v>
      </c>
      <c r="AD124" s="6"/>
      <c r="AE124" s="6"/>
    </row>
    <row r="125" spans="1:31" outlineLevel="1" x14ac:dyDescent="0.3">
      <c r="A125" s="76" t="str">
        <f t="shared" si="33"/>
        <v>Закупка</v>
      </c>
      <c r="B125" s="76" t="str">
        <f t="shared" si="33"/>
        <v>исп.</v>
      </c>
      <c r="C125" s="76" t="s">
        <v>105</v>
      </c>
      <c r="D125" s="76" t="s">
        <v>109</v>
      </c>
      <c r="E125" s="11"/>
      <c r="F125" s="11"/>
      <c r="G125" s="18"/>
      <c r="H125" s="18"/>
      <c r="I125" s="15"/>
      <c r="J125" s="15"/>
      <c r="K125" s="9"/>
      <c r="L125" s="9"/>
      <c r="M125" s="9"/>
      <c r="N125" s="84"/>
      <c r="O125" s="17"/>
      <c r="P125" s="18"/>
      <c r="Q125" s="12"/>
      <c r="R125" s="1"/>
      <c r="S125" s="37"/>
      <c r="T125" s="53" t="s">
        <v>61</v>
      </c>
      <c r="U125" s="26"/>
      <c r="V125" s="54"/>
      <c r="W125" s="55" t="s">
        <v>72</v>
      </c>
      <c r="X125" s="55" t="s">
        <v>152</v>
      </c>
      <c r="Y125" s="56">
        <v>42819</v>
      </c>
      <c r="Z125" s="26">
        <v>500000</v>
      </c>
      <c r="AA125" s="3">
        <f t="shared" si="66"/>
        <v>0</v>
      </c>
      <c r="AB125" s="3">
        <f t="shared" si="67"/>
        <v>0</v>
      </c>
      <c r="AC125" s="6">
        <f>IF(AND($W125&gt;0,$AA125&gt;0,OR($S125=D$3,$S125&lt;D$3)),$AA125,0)</f>
        <v>0</v>
      </c>
      <c r="AD125" s="18"/>
      <c r="AE125" s="18"/>
    </row>
    <row r="126" spans="1:31" outlineLevel="1" x14ac:dyDescent="0.3">
      <c r="A126" s="76" t="str">
        <f t="shared" si="33"/>
        <v>Закупка</v>
      </c>
      <c r="B126" s="76" t="str">
        <f t="shared" si="33"/>
        <v>исп.</v>
      </c>
      <c r="C126" s="76" t="s">
        <v>105</v>
      </c>
      <c r="D126" s="76" t="s">
        <v>109</v>
      </c>
      <c r="E126" s="11"/>
      <c r="F126" s="11"/>
      <c r="G126" s="18"/>
      <c r="H126" s="18"/>
      <c r="I126" s="15"/>
      <c r="J126" s="15"/>
      <c r="K126" s="9"/>
      <c r="L126" s="9"/>
      <c r="M126" s="9"/>
      <c r="N126" s="84"/>
      <c r="O126" s="17"/>
      <c r="P126" s="18"/>
      <c r="Q126" s="12"/>
      <c r="R126" s="1"/>
      <c r="S126" s="18"/>
      <c r="T126" s="56"/>
      <c r="U126" s="56"/>
      <c r="V126" s="56"/>
      <c r="W126" s="55" t="s">
        <v>73</v>
      </c>
      <c r="X126" s="55" t="s">
        <v>152</v>
      </c>
      <c r="Y126" s="56">
        <v>42803</v>
      </c>
      <c r="Z126" s="26">
        <v>500000</v>
      </c>
      <c r="AA126" s="3">
        <f t="shared" si="66"/>
        <v>0</v>
      </c>
      <c r="AB126" s="3">
        <f t="shared" si="67"/>
        <v>0</v>
      </c>
      <c r="AC126" s="6">
        <f>IF(AND($W126&gt;0,$AA126&gt;0,OR($S126=D$3,$S126&lt;D$3)),$AA126,0)</f>
        <v>0</v>
      </c>
      <c r="AD126" s="18"/>
      <c r="AE126" s="18"/>
    </row>
  </sheetData>
  <autoFilter ref="A4:AE126"/>
  <conditionalFormatting sqref="Q1 Q4 V22:V24 V26:V28 V57 V51 Q60:Q68 V40:V41 V65:V68 Q96:Q97 Q101:Q104 V92:V93 V96:V97 Q127:Q1048576 V124 Q124 Q109:Q116 V111:V113 V86:V89 V6:V14 Q55:Q57 V44:V46 Q74:Q89 V76 Q6:Q53">
    <cfRule type="cellIs" dxfId="66" priority="83" operator="greaterThan">
      <formula>0</formula>
    </cfRule>
  </conditionalFormatting>
  <conditionalFormatting sqref="V1:V2 V17:V18 V21 V36 V4 V103:V104 V127:V1048576">
    <cfRule type="cellIs" dxfId="65" priority="82" operator="greaterThan">
      <formula>0</formula>
    </cfRule>
  </conditionalFormatting>
  <conditionalFormatting sqref="V19:V20">
    <cfRule type="cellIs" dxfId="64" priority="68" operator="greaterThan">
      <formula>0</formula>
    </cfRule>
  </conditionalFormatting>
  <conditionalFormatting sqref="V15:V16">
    <cfRule type="cellIs" dxfId="63" priority="69" operator="greaterThan">
      <formula>0</formula>
    </cfRule>
  </conditionalFormatting>
  <conditionalFormatting sqref="V31:V32 V35">
    <cfRule type="cellIs" dxfId="62" priority="74" operator="greaterThan">
      <formula>0</formula>
    </cfRule>
  </conditionalFormatting>
  <conditionalFormatting sqref="V25">
    <cfRule type="cellIs" dxfId="61" priority="67" operator="greaterThan">
      <formula>0</formula>
    </cfRule>
  </conditionalFormatting>
  <conditionalFormatting sqref="V37:V39">
    <cfRule type="cellIs" dxfId="60" priority="63" operator="greaterThan">
      <formula>0</formula>
    </cfRule>
  </conditionalFormatting>
  <conditionalFormatting sqref="V29:V30">
    <cfRule type="cellIs" dxfId="59" priority="66" operator="greaterThan">
      <formula>0</formula>
    </cfRule>
  </conditionalFormatting>
  <conditionalFormatting sqref="V33:V34">
    <cfRule type="cellIs" dxfId="58" priority="64" operator="greaterThan">
      <formula>0</formula>
    </cfRule>
  </conditionalFormatting>
  <conditionalFormatting sqref="V60">
    <cfRule type="cellIs" dxfId="57" priority="59" operator="greaterThan">
      <formula>0</formula>
    </cfRule>
  </conditionalFormatting>
  <conditionalFormatting sqref="V55:V56">
    <cfRule type="cellIs" dxfId="56" priority="57" operator="greaterThan">
      <formula>0</formula>
    </cfRule>
  </conditionalFormatting>
  <conditionalFormatting sqref="V49:V50">
    <cfRule type="cellIs" dxfId="55" priority="58" operator="greaterThan">
      <formula>0</formula>
    </cfRule>
  </conditionalFormatting>
  <conditionalFormatting sqref="Q58:Q59">
    <cfRule type="cellIs" dxfId="54" priority="56" operator="greaterThan">
      <formula>0</formula>
    </cfRule>
  </conditionalFormatting>
  <conditionalFormatting sqref="V58:V59">
    <cfRule type="cellIs" dxfId="53" priority="55" operator="greaterThan">
      <formula>0</formula>
    </cfRule>
  </conditionalFormatting>
  <conditionalFormatting sqref="V61:V62">
    <cfRule type="cellIs" dxfId="52" priority="53" operator="greaterThan">
      <formula>0</formula>
    </cfRule>
  </conditionalFormatting>
  <conditionalFormatting sqref="V63">
    <cfRule type="cellIs" dxfId="51" priority="52" operator="greaterThan">
      <formula>0</formula>
    </cfRule>
  </conditionalFormatting>
  <conditionalFormatting sqref="V64">
    <cfRule type="cellIs" dxfId="50" priority="51" operator="greaterThan">
      <formula>0</formula>
    </cfRule>
  </conditionalFormatting>
  <conditionalFormatting sqref="Q69:Q71">
    <cfRule type="cellIs" dxfId="49" priority="50" operator="greaterThan">
      <formula>0</formula>
    </cfRule>
  </conditionalFormatting>
  <conditionalFormatting sqref="V84:V85 V69:V73 V79:V81">
    <cfRule type="cellIs" dxfId="48" priority="49" operator="greaterThan">
      <formula>0</formula>
    </cfRule>
  </conditionalFormatting>
  <conditionalFormatting sqref="Q72:Q73">
    <cfRule type="cellIs" dxfId="47" priority="45" operator="greaterThan">
      <formula>0</formula>
    </cfRule>
  </conditionalFormatting>
  <conditionalFormatting sqref="V74:V75">
    <cfRule type="cellIs" dxfId="46" priority="44" operator="greaterThan">
      <formula>0</formula>
    </cfRule>
  </conditionalFormatting>
  <conditionalFormatting sqref="V77:V78">
    <cfRule type="cellIs" dxfId="45" priority="43" operator="greaterThan">
      <formula>0</formula>
    </cfRule>
  </conditionalFormatting>
  <conditionalFormatting sqref="V82:V83">
    <cfRule type="cellIs" dxfId="44" priority="41" operator="greaterThan">
      <formula>0</formula>
    </cfRule>
  </conditionalFormatting>
  <conditionalFormatting sqref="Q54">
    <cfRule type="cellIs" dxfId="43" priority="40" operator="greaterThan">
      <formula>0</formula>
    </cfRule>
  </conditionalFormatting>
  <conditionalFormatting sqref="V52:V53">
    <cfRule type="cellIs" dxfId="42" priority="39" operator="greaterThan">
      <formula>0</formula>
    </cfRule>
  </conditionalFormatting>
  <conditionalFormatting sqref="V47:V48">
    <cfRule type="cellIs" dxfId="41" priority="37" operator="greaterThan">
      <formula>0</formula>
    </cfRule>
  </conditionalFormatting>
  <conditionalFormatting sqref="V42:V43">
    <cfRule type="cellIs" dxfId="40" priority="35" operator="greaterThan">
      <formula>0</formula>
    </cfRule>
  </conditionalFormatting>
  <conditionalFormatting sqref="V54">
    <cfRule type="cellIs" dxfId="39" priority="34" operator="greaterThan">
      <formula>0</formula>
    </cfRule>
  </conditionalFormatting>
  <conditionalFormatting sqref="Q92:Q93">
    <cfRule type="cellIs" dxfId="38" priority="31" operator="greaterThan">
      <formula>0</formula>
    </cfRule>
  </conditionalFormatting>
  <conditionalFormatting sqref="V101">
    <cfRule type="cellIs" dxfId="37" priority="27" operator="greaterThan">
      <formula>0</formula>
    </cfRule>
  </conditionalFormatting>
  <conditionalFormatting sqref="V98:V100 Q98:Q100">
    <cfRule type="cellIs" dxfId="36" priority="26" operator="greaterThan">
      <formula>0</formula>
    </cfRule>
  </conditionalFormatting>
  <conditionalFormatting sqref="Q94:Q95">
    <cfRule type="cellIs" dxfId="35" priority="23" operator="greaterThan">
      <formula>0</formula>
    </cfRule>
  </conditionalFormatting>
  <conditionalFormatting sqref="V102">
    <cfRule type="cellIs" dxfId="34" priority="25" operator="greaterThan">
      <formula>0</formula>
    </cfRule>
  </conditionalFormatting>
  <conditionalFormatting sqref="V94:V95">
    <cfRule type="cellIs" dxfId="33" priority="24" operator="greaterThan">
      <formula>0</formula>
    </cfRule>
  </conditionalFormatting>
  <conditionalFormatting sqref="Q106">
    <cfRule type="cellIs" dxfId="32" priority="22" operator="greaterThan">
      <formula>0</formula>
    </cfRule>
  </conditionalFormatting>
  <conditionalFormatting sqref="V115:V116 V106:V109">
    <cfRule type="cellIs" dxfId="31" priority="21" operator="greaterThan">
      <formula>0</formula>
    </cfRule>
  </conditionalFormatting>
  <conditionalFormatting sqref="Q107:Q108">
    <cfRule type="cellIs" dxfId="30" priority="20" operator="greaterThan">
      <formula>0</formula>
    </cfRule>
  </conditionalFormatting>
  <conditionalFormatting sqref="V110">
    <cfRule type="cellIs" dxfId="29" priority="19" operator="greaterThan">
      <formula>0</formula>
    </cfRule>
  </conditionalFormatting>
  <conditionalFormatting sqref="V114">
    <cfRule type="cellIs" dxfId="28" priority="16" operator="greaterThan">
      <formula>0</formula>
    </cfRule>
  </conditionalFormatting>
  <conditionalFormatting sqref="Q125:Q126">
    <cfRule type="cellIs" dxfId="27" priority="15" operator="greaterThan">
      <formula>0</formula>
    </cfRule>
  </conditionalFormatting>
  <conditionalFormatting sqref="V125">
    <cfRule type="cellIs" dxfId="26" priority="14" operator="greaterThan">
      <formula>0</formula>
    </cfRule>
  </conditionalFormatting>
  <conditionalFormatting sqref="V126">
    <cfRule type="cellIs" dxfId="25" priority="12" operator="greaterThan">
      <formula>0</formula>
    </cfRule>
  </conditionalFormatting>
  <conditionalFormatting sqref="V123">
    <cfRule type="cellIs" dxfId="24" priority="11" operator="greaterThan">
      <formula>0</formula>
    </cfRule>
  </conditionalFormatting>
  <conditionalFormatting sqref="Q123">
    <cfRule type="cellIs" dxfId="23" priority="10" operator="greaterThan">
      <formula>0</formula>
    </cfRule>
  </conditionalFormatting>
  <conditionalFormatting sqref="Q117">
    <cfRule type="cellIs" dxfId="22" priority="9" operator="greaterThan">
      <formula>0</formula>
    </cfRule>
  </conditionalFormatting>
  <conditionalFormatting sqref="V117">
    <cfRule type="cellIs" dxfId="21" priority="8" operator="greaterThan">
      <formula>0</formula>
    </cfRule>
  </conditionalFormatting>
  <conditionalFormatting sqref="Q118:Q120">
    <cfRule type="cellIs" dxfId="20" priority="7" operator="greaterThan">
      <formula>0</formula>
    </cfRule>
  </conditionalFormatting>
  <conditionalFormatting sqref="V118:V120">
    <cfRule type="cellIs" dxfId="19" priority="6" operator="greaterThan">
      <formula>0</formula>
    </cfRule>
  </conditionalFormatting>
  <conditionalFormatting sqref="Q121:Q122 V121:V122">
    <cfRule type="cellIs" dxfId="18" priority="5" operator="greaterThan">
      <formula>0</formula>
    </cfRule>
  </conditionalFormatting>
  <conditionalFormatting sqref="Q90">
    <cfRule type="cellIs" dxfId="17" priority="4" operator="greaterThan">
      <formula>0</formula>
    </cfRule>
  </conditionalFormatting>
  <conditionalFormatting sqref="V90">
    <cfRule type="cellIs" dxfId="16" priority="3" operator="greaterThan">
      <formula>0</formula>
    </cfRule>
  </conditionalFormatting>
  <conditionalFormatting sqref="Q105">
    <cfRule type="cellIs" dxfId="15" priority="2" operator="greaterThan">
      <formula>0</formula>
    </cfRule>
  </conditionalFormatting>
  <conditionalFormatting sqref="V105">
    <cfRule type="cellIs" dxfId="14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94" pageOrder="overThenDown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zoomScale="145" zoomScaleNormal="145" workbookViewId="0">
      <selection activeCell="B12" sqref="B12"/>
    </sheetView>
  </sheetViews>
  <sheetFormatPr defaultRowHeight="13.8" x14ac:dyDescent="0.3"/>
  <cols>
    <col min="1" max="1" width="3.6640625" customWidth="1"/>
    <col min="2" max="2" width="4.33203125" customWidth="1"/>
    <col min="4" max="4" width="4.44140625" customWidth="1"/>
    <col min="10" max="10" width="9.88671875" bestFit="1" customWidth="1"/>
    <col min="11" max="11" width="12.44140625" bestFit="1" customWidth="1"/>
    <col min="13" max="13" width="9.88671875" bestFit="1" customWidth="1"/>
    <col min="14" max="14" width="12.44140625" bestFit="1" customWidth="1"/>
  </cols>
  <sheetData>
    <row r="1" spans="1:6" x14ac:dyDescent="0.3">
      <c r="A1">
        <v>1</v>
      </c>
      <c r="B1" t="s">
        <v>147</v>
      </c>
    </row>
    <row r="2" spans="1:6" x14ac:dyDescent="0.3">
      <c r="C2" t="s">
        <v>150</v>
      </c>
    </row>
    <row r="3" spans="1:6" x14ac:dyDescent="0.3">
      <c r="C3" t="s">
        <v>149</v>
      </c>
    </row>
    <row r="4" spans="1:6" x14ac:dyDescent="0.3">
      <c r="C4" t="s">
        <v>148</v>
      </c>
    </row>
    <row r="5" spans="1:6" x14ac:dyDescent="0.3">
      <c r="A5">
        <v>2</v>
      </c>
      <c r="B5" t="s">
        <v>122</v>
      </c>
    </row>
    <row r="6" spans="1:6" x14ac:dyDescent="0.3">
      <c r="A6">
        <v>3</v>
      </c>
      <c r="B6" t="s">
        <v>84</v>
      </c>
    </row>
    <row r="7" spans="1:6" x14ac:dyDescent="0.3">
      <c r="C7" t="s">
        <v>51</v>
      </c>
    </row>
    <row r="8" spans="1:6" x14ac:dyDescent="0.3">
      <c r="C8" t="s">
        <v>85</v>
      </c>
    </row>
    <row r="9" spans="1:6" x14ac:dyDescent="0.3">
      <c r="A9">
        <v>4</v>
      </c>
      <c r="B9" t="s">
        <v>90</v>
      </c>
    </row>
    <row r="10" spans="1:6" x14ac:dyDescent="0.3">
      <c r="A10">
        <v>5</v>
      </c>
      <c r="B10" t="s">
        <v>91</v>
      </c>
    </row>
    <row r="11" spans="1:6" x14ac:dyDescent="0.3">
      <c r="A11">
        <v>6</v>
      </c>
      <c r="B11" t="s">
        <v>87</v>
      </c>
    </row>
    <row r="12" spans="1:6" x14ac:dyDescent="0.3">
      <c r="A12">
        <v>7</v>
      </c>
      <c r="B12" t="s">
        <v>128</v>
      </c>
    </row>
    <row r="13" spans="1:6" x14ac:dyDescent="0.3">
      <c r="A13">
        <v>8</v>
      </c>
      <c r="B13" s="35" t="s">
        <v>129</v>
      </c>
    </row>
    <row r="14" spans="1:6" x14ac:dyDescent="0.3">
      <c r="A14">
        <v>9</v>
      </c>
      <c r="B14" s="99" t="s">
        <v>115</v>
      </c>
    </row>
    <row r="15" spans="1:6" x14ac:dyDescent="0.3">
      <c r="A15">
        <v>10</v>
      </c>
      <c r="B15" t="s">
        <v>125</v>
      </c>
    </row>
    <row r="16" spans="1:6" x14ac:dyDescent="0.3">
      <c r="B16" t="s">
        <v>89</v>
      </c>
      <c r="F16" t="s">
        <v>151</v>
      </c>
    </row>
    <row r="17" spans="2:11" x14ac:dyDescent="0.3">
      <c r="B17" t="s">
        <v>103</v>
      </c>
    </row>
    <row r="18" spans="2:11" x14ac:dyDescent="0.3">
      <c r="B18" t="s">
        <v>126</v>
      </c>
    </row>
    <row r="19" spans="2:11" x14ac:dyDescent="0.3">
      <c r="B19" t="s">
        <v>121</v>
      </c>
      <c r="E19" s="98"/>
    </row>
    <row r="20" spans="2:11" x14ac:dyDescent="0.3">
      <c r="B20" t="s">
        <v>94</v>
      </c>
    </row>
    <row r="21" spans="2:11" x14ac:dyDescent="0.3">
      <c r="C21" t="s">
        <v>96</v>
      </c>
      <c r="H21" s="55" t="s">
        <v>65</v>
      </c>
      <c r="I21" s="55" t="s">
        <v>23</v>
      </c>
      <c r="J21" s="56">
        <v>42813</v>
      </c>
      <c r="K21" s="26">
        <v>400000</v>
      </c>
    </row>
    <row r="22" spans="2:11" x14ac:dyDescent="0.3">
      <c r="C22" t="s">
        <v>95</v>
      </c>
      <c r="E22" s="100" t="s">
        <v>74</v>
      </c>
    </row>
    <row r="23" spans="2:11" x14ac:dyDescent="0.3">
      <c r="E23" s="100" t="s">
        <v>78</v>
      </c>
    </row>
    <row r="24" spans="2:11" x14ac:dyDescent="0.3">
      <c r="E24" s="101" t="s">
        <v>75</v>
      </c>
    </row>
    <row r="25" spans="2:11" x14ac:dyDescent="0.3">
      <c r="E25" s="101" t="s">
        <v>79</v>
      </c>
    </row>
    <row r="26" spans="2:11" x14ac:dyDescent="0.3">
      <c r="E26" s="101" t="s">
        <v>61</v>
      </c>
    </row>
    <row r="27" spans="2:11" x14ac:dyDescent="0.3">
      <c r="E27" s="98" t="s">
        <v>62</v>
      </c>
    </row>
    <row r="28" spans="2:11" x14ac:dyDescent="0.3">
      <c r="B28" s="40" t="s">
        <v>123</v>
      </c>
      <c r="C28" s="40"/>
      <c r="D28" s="40"/>
      <c r="E28" s="40"/>
      <c r="F28" s="40"/>
      <c r="G28" s="40"/>
      <c r="H28" s="40"/>
      <c r="I28" s="40"/>
      <c r="J28" s="40"/>
    </row>
    <row r="29" spans="2:11" x14ac:dyDescent="0.3">
      <c r="B29" s="47" t="s">
        <v>124</v>
      </c>
      <c r="C29" s="47"/>
      <c r="D29" s="47"/>
      <c r="E29" s="47"/>
      <c r="F29" s="47"/>
      <c r="G29" s="47"/>
      <c r="H29" s="47"/>
      <c r="I29" s="47"/>
      <c r="J29" s="47"/>
    </row>
    <row r="30" spans="2:11" x14ac:dyDescent="0.3">
      <c r="B30" s="46" t="s">
        <v>93</v>
      </c>
      <c r="C30" s="46"/>
      <c r="D30" s="46"/>
      <c r="E30" s="46"/>
      <c r="F30" s="46"/>
      <c r="G30" s="46"/>
      <c r="H30" s="46"/>
      <c r="I30" s="46"/>
      <c r="J30" s="46"/>
    </row>
    <row r="31" spans="2:11" x14ac:dyDescent="0.3">
      <c r="B31" s="31" t="s">
        <v>146</v>
      </c>
      <c r="C31" s="31"/>
      <c r="D31" s="31"/>
      <c r="E31" s="31"/>
      <c r="F31" s="31"/>
      <c r="G31" s="31"/>
      <c r="H31" s="31"/>
      <c r="I31" s="31"/>
      <c r="J31" s="31"/>
    </row>
    <row r="32" spans="2:11" x14ac:dyDescent="0.3">
      <c r="B32" s="31"/>
      <c r="C32" s="31"/>
      <c r="D32" s="31"/>
      <c r="E32" s="31"/>
      <c r="F32" s="31"/>
      <c r="G32" s="31"/>
      <c r="H32" s="31"/>
      <c r="I32" s="31"/>
      <c r="J32" s="31"/>
    </row>
    <row r="33" spans="1:10" x14ac:dyDescent="0.3">
      <c r="B33" s="31"/>
      <c r="C33" s="31"/>
      <c r="D33" s="31"/>
      <c r="E33" s="31"/>
      <c r="F33" s="31"/>
      <c r="G33" s="31"/>
      <c r="H33" s="31"/>
      <c r="I33" s="31"/>
      <c r="J33" s="31"/>
    </row>
    <row r="34" spans="1:10" x14ac:dyDescent="0.3">
      <c r="B34" s="31"/>
      <c r="C34" s="31"/>
      <c r="D34" s="31"/>
      <c r="E34" s="31"/>
      <c r="F34" s="31"/>
      <c r="G34" s="31"/>
      <c r="H34" s="31"/>
      <c r="I34" s="31"/>
      <c r="J34" s="31"/>
    </row>
    <row r="35" spans="1:10" x14ac:dyDescent="0.3">
      <c r="A35">
        <v>11</v>
      </c>
      <c r="B35" s="99" t="s">
        <v>130</v>
      </c>
    </row>
    <row r="36" spans="1:10" x14ac:dyDescent="0.3">
      <c r="B36" s="99"/>
      <c r="C36" t="s">
        <v>135</v>
      </c>
    </row>
    <row r="37" spans="1:10" x14ac:dyDescent="0.3">
      <c r="B37" s="99"/>
      <c r="C37" t="s">
        <v>136</v>
      </c>
    </row>
    <row r="38" spans="1:10" x14ac:dyDescent="0.3">
      <c r="B38" s="99"/>
      <c r="C38" t="s">
        <v>137</v>
      </c>
    </row>
    <row r="39" spans="1:10" x14ac:dyDescent="0.3">
      <c r="B39" s="99"/>
      <c r="C39" t="s">
        <v>131</v>
      </c>
    </row>
    <row r="40" spans="1:10" x14ac:dyDescent="0.3">
      <c r="B40" s="99"/>
      <c r="C40" t="s">
        <v>138</v>
      </c>
    </row>
    <row r="41" spans="1:10" x14ac:dyDescent="0.3">
      <c r="B41" s="99"/>
      <c r="C41" t="s">
        <v>132</v>
      </c>
    </row>
    <row r="42" spans="1:10" x14ac:dyDescent="0.3">
      <c r="B42" s="99"/>
      <c r="D42" t="s">
        <v>134</v>
      </c>
    </row>
    <row r="43" spans="1:10" x14ac:dyDescent="0.3">
      <c r="B43" s="99"/>
      <c r="D43" t="s">
        <v>133</v>
      </c>
    </row>
    <row r="44" spans="1:10" x14ac:dyDescent="0.3">
      <c r="B44" s="99"/>
    </row>
    <row r="45" spans="1:10" x14ac:dyDescent="0.3">
      <c r="A45">
        <v>12</v>
      </c>
      <c r="B45" s="99" t="s">
        <v>98</v>
      </c>
    </row>
    <row r="46" spans="1:10" x14ac:dyDescent="0.3">
      <c r="B46" s="99" t="s">
        <v>99</v>
      </c>
    </row>
    <row r="47" spans="1:10" x14ac:dyDescent="0.3">
      <c r="C47" t="s">
        <v>102</v>
      </c>
    </row>
    <row r="48" spans="1:10" x14ac:dyDescent="0.3">
      <c r="B48" s="99" t="s">
        <v>116</v>
      </c>
    </row>
    <row r="49" spans="2:4" x14ac:dyDescent="0.3">
      <c r="B49" s="99"/>
      <c r="C49" t="s">
        <v>117</v>
      </c>
    </row>
    <row r="50" spans="2:4" x14ac:dyDescent="0.3">
      <c r="B50" s="99"/>
      <c r="C50">
        <v>1</v>
      </c>
      <c r="D50" t="s">
        <v>144</v>
      </c>
    </row>
    <row r="51" spans="2:4" x14ac:dyDescent="0.3">
      <c r="B51" s="99"/>
      <c r="C51">
        <v>2</v>
      </c>
      <c r="D51" t="s">
        <v>145</v>
      </c>
    </row>
    <row r="52" spans="2:4" x14ac:dyDescent="0.3">
      <c r="B52" s="35"/>
      <c r="C52">
        <v>3</v>
      </c>
      <c r="D52" t="s">
        <v>139</v>
      </c>
    </row>
    <row r="53" spans="2:4" x14ac:dyDescent="0.3">
      <c r="C53">
        <v>4</v>
      </c>
      <c r="D53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"/>
    </sheetView>
  </sheetViews>
  <sheetFormatPr defaultRowHeight="13.8" x14ac:dyDescent="0.3"/>
  <cols>
    <col min="1" max="1" width="45" bestFit="1" customWidth="1"/>
    <col min="2" max="2" width="22" bestFit="1" customWidth="1"/>
    <col min="3" max="4" width="10.109375" customWidth="1"/>
    <col min="5" max="5" width="10.109375" bestFit="1" customWidth="1"/>
    <col min="6" max="6" width="9" bestFit="1" customWidth="1"/>
    <col min="7" max="7" width="10.6640625" bestFit="1" customWidth="1"/>
    <col min="8" max="8" width="10.5546875" bestFit="1" customWidth="1"/>
  </cols>
  <sheetData>
    <row r="1" spans="1:7" x14ac:dyDescent="0.3">
      <c r="A1" s="94" t="s">
        <v>8</v>
      </c>
      <c r="B1" s="1" t="s">
        <v>119</v>
      </c>
    </row>
    <row r="3" spans="1:7" x14ac:dyDescent="0.3">
      <c r="A3" s="94" t="s">
        <v>118</v>
      </c>
      <c r="B3" s="94" t="s">
        <v>112</v>
      </c>
      <c r="C3" s="1"/>
      <c r="D3" s="1"/>
      <c r="E3" s="1"/>
      <c r="F3" s="1"/>
      <c r="G3" s="1"/>
    </row>
    <row r="4" spans="1:7" x14ac:dyDescent="0.3">
      <c r="A4" s="94" t="s">
        <v>110</v>
      </c>
      <c r="B4" s="2">
        <v>42766</v>
      </c>
      <c r="C4" s="2">
        <v>42794</v>
      </c>
      <c r="D4" s="2">
        <v>42825</v>
      </c>
      <c r="E4" s="2">
        <v>42855</v>
      </c>
      <c r="F4" s="1" t="s">
        <v>155</v>
      </c>
      <c r="G4" s="1" t="s">
        <v>111</v>
      </c>
    </row>
    <row r="5" spans="1:7" x14ac:dyDescent="0.3">
      <c r="A5" s="91" t="s">
        <v>104</v>
      </c>
      <c r="B5" s="90"/>
      <c r="C5" s="90"/>
      <c r="D5" s="90"/>
      <c r="E5" s="90"/>
      <c r="F5" s="90">
        <v>8000000</v>
      </c>
      <c r="G5" s="89">
        <v>8000000</v>
      </c>
    </row>
    <row r="6" spans="1:7" x14ac:dyDescent="0.3">
      <c r="A6" s="91" t="s">
        <v>35</v>
      </c>
      <c r="B6" s="90">
        <v>1500000</v>
      </c>
      <c r="C6" s="90">
        <v>900000</v>
      </c>
      <c r="D6" s="90"/>
      <c r="E6" s="90">
        <v>4000000</v>
      </c>
      <c r="F6" s="90">
        <v>12500000</v>
      </c>
      <c r="G6" s="89">
        <v>18900000</v>
      </c>
    </row>
    <row r="7" spans="1:7" x14ac:dyDescent="0.3">
      <c r="A7" s="91" t="s">
        <v>105</v>
      </c>
      <c r="B7" s="90"/>
      <c r="C7" s="90"/>
      <c r="D7" s="90">
        <v>1000000</v>
      </c>
      <c r="E7" s="90">
        <v>1000000</v>
      </c>
      <c r="F7" s="90">
        <v>5000000</v>
      </c>
      <c r="G7" s="89">
        <v>7000000</v>
      </c>
    </row>
    <row r="8" spans="1:7" x14ac:dyDescent="0.3">
      <c r="A8" s="91" t="s">
        <v>53</v>
      </c>
      <c r="B8" s="90">
        <v>50000</v>
      </c>
      <c r="C8" s="90"/>
      <c r="D8" s="90">
        <v>1000000</v>
      </c>
      <c r="E8" s="90">
        <v>2000000</v>
      </c>
      <c r="F8" s="90">
        <v>6000000</v>
      </c>
      <c r="G8" s="89">
        <v>9050000</v>
      </c>
    </row>
    <row r="9" spans="1:7" x14ac:dyDescent="0.3">
      <c r="A9" s="91" t="s">
        <v>155</v>
      </c>
      <c r="B9" s="90"/>
      <c r="C9" s="90"/>
      <c r="D9" s="90"/>
      <c r="E9" s="90"/>
      <c r="F9" s="90">
        <v>31500000</v>
      </c>
      <c r="G9" s="89">
        <v>31500000</v>
      </c>
    </row>
    <row r="10" spans="1:7" x14ac:dyDescent="0.3">
      <c r="A10" s="91" t="s">
        <v>111</v>
      </c>
      <c r="B10" s="90">
        <v>1550000</v>
      </c>
      <c r="C10" s="90">
        <v>900000</v>
      </c>
      <c r="D10" s="90">
        <v>2000000</v>
      </c>
      <c r="E10" s="90">
        <v>7000000</v>
      </c>
      <c r="F10" s="90">
        <v>63000000</v>
      </c>
      <c r="G10" s="89">
        <v>74450000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3.8" x14ac:dyDescent="0.3"/>
  <cols>
    <col min="1" max="1" width="46.33203125" bestFit="1" customWidth="1"/>
    <col min="2" max="2" width="22" customWidth="1"/>
    <col min="3" max="11" width="20.88671875" customWidth="1"/>
    <col min="12" max="12" width="10.6640625" customWidth="1"/>
    <col min="13" max="16" width="10.109375" customWidth="1"/>
    <col min="17" max="17" width="9.33203125" customWidth="1"/>
    <col min="18" max="18" width="10.6640625" customWidth="1"/>
    <col min="19" max="26" width="10.109375" bestFit="1" customWidth="1"/>
    <col min="27" max="27" width="10.33203125" customWidth="1"/>
    <col min="28" max="28" width="3.44140625" customWidth="1"/>
    <col min="29" max="29" width="10.6640625" bestFit="1" customWidth="1"/>
    <col min="30" max="30" width="12" customWidth="1"/>
    <col min="31" max="31" width="14.33203125" customWidth="1"/>
    <col min="32" max="32" width="12" customWidth="1"/>
    <col min="33" max="33" width="14.33203125" customWidth="1"/>
    <col min="34" max="34" width="12" customWidth="1"/>
    <col min="35" max="35" width="8" customWidth="1"/>
    <col min="36" max="36" width="14.33203125" customWidth="1"/>
    <col min="37" max="37" width="12" customWidth="1"/>
    <col min="38" max="38" width="14.33203125" customWidth="1"/>
    <col min="39" max="39" width="12" customWidth="1"/>
    <col min="40" max="40" width="14.33203125" customWidth="1"/>
    <col min="41" max="51" width="10.109375" customWidth="1"/>
    <col min="52" max="52" width="9" customWidth="1"/>
    <col min="53" max="54" width="10.6640625" customWidth="1"/>
    <col min="55" max="55" width="53.33203125" bestFit="1" customWidth="1"/>
    <col min="56" max="56" width="56.109375" bestFit="1" customWidth="1"/>
    <col min="57" max="57" width="63.33203125" bestFit="1" customWidth="1"/>
    <col min="58" max="58" width="46.33203125" bestFit="1" customWidth="1"/>
    <col min="59" max="59" width="53.33203125" bestFit="1" customWidth="1"/>
    <col min="60" max="60" width="56.109375" bestFit="1" customWidth="1"/>
    <col min="61" max="61" width="63.33203125" bestFit="1" customWidth="1"/>
    <col min="62" max="62" width="46.33203125" bestFit="1" customWidth="1"/>
    <col min="63" max="63" width="53.33203125" bestFit="1" customWidth="1"/>
    <col min="64" max="64" width="56.109375" bestFit="1" customWidth="1"/>
    <col min="65" max="65" width="63.33203125" bestFit="1" customWidth="1"/>
    <col min="66" max="66" width="46.33203125" bestFit="1" customWidth="1"/>
    <col min="67" max="67" width="53.33203125" bestFit="1" customWidth="1"/>
    <col min="68" max="68" width="46.33203125" bestFit="1" customWidth="1"/>
    <col min="69" max="69" width="53.33203125" bestFit="1" customWidth="1"/>
    <col min="70" max="70" width="56.109375" bestFit="1" customWidth="1"/>
    <col min="71" max="71" width="63.33203125" bestFit="1" customWidth="1"/>
    <col min="72" max="72" width="46.33203125" bestFit="1" customWidth="1"/>
    <col min="73" max="73" width="53.33203125" bestFit="1" customWidth="1"/>
    <col min="74" max="74" width="56.109375" bestFit="1" customWidth="1"/>
    <col min="75" max="75" width="63.33203125" bestFit="1" customWidth="1"/>
    <col min="76" max="76" width="46.33203125" bestFit="1" customWidth="1"/>
    <col min="77" max="77" width="53.33203125" bestFit="1" customWidth="1"/>
    <col min="78" max="78" width="56.109375" bestFit="1" customWidth="1"/>
    <col min="79" max="79" width="63.33203125" bestFit="1" customWidth="1"/>
    <col min="80" max="80" width="46.33203125" bestFit="1" customWidth="1"/>
    <col min="81" max="81" width="53.33203125" bestFit="1" customWidth="1"/>
    <col min="82" max="82" width="46.33203125" bestFit="1" customWidth="1"/>
    <col min="83" max="83" width="53.33203125" bestFit="1" customWidth="1"/>
    <col min="84" max="84" width="46.33203125" bestFit="1" customWidth="1"/>
    <col min="85" max="85" width="53.33203125" bestFit="1" customWidth="1"/>
    <col min="86" max="86" width="46.33203125" bestFit="1" customWidth="1"/>
    <col min="87" max="87" width="53.33203125" bestFit="1" customWidth="1"/>
    <col min="88" max="88" width="46.33203125" bestFit="1" customWidth="1"/>
    <col min="89" max="89" width="53.33203125" bestFit="1" customWidth="1"/>
    <col min="90" max="90" width="46.33203125" bestFit="1" customWidth="1"/>
    <col min="91" max="91" width="53.33203125" bestFit="1" customWidth="1"/>
    <col min="92" max="92" width="46.33203125" bestFit="1" customWidth="1"/>
    <col min="93" max="93" width="53.33203125" bestFit="1" customWidth="1"/>
    <col min="94" max="94" width="46.33203125" bestFit="1" customWidth="1"/>
    <col min="95" max="95" width="53.33203125" bestFit="1" customWidth="1"/>
    <col min="96" max="96" width="46.33203125" bestFit="1" customWidth="1"/>
    <col min="97" max="97" width="53.33203125" bestFit="1" customWidth="1"/>
    <col min="98" max="98" width="46.33203125" bestFit="1" customWidth="1"/>
    <col min="99" max="99" width="53.33203125" bestFit="1" customWidth="1"/>
    <col min="100" max="100" width="46.33203125" bestFit="1" customWidth="1"/>
    <col min="101" max="101" width="53.33203125" bestFit="1" customWidth="1"/>
    <col min="102" max="102" width="46.33203125" bestFit="1" customWidth="1"/>
    <col min="103" max="103" width="53.33203125" bestFit="1" customWidth="1"/>
    <col min="104" max="104" width="52.44140625" bestFit="1" customWidth="1"/>
    <col min="105" max="105" width="59.5546875" bestFit="1" customWidth="1"/>
    <col min="106" max="106" width="50.5546875" bestFit="1" customWidth="1"/>
    <col min="107" max="107" width="57.5546875" bestFit="1" customWidth="1"/>
  </cols>
  <sheetData>
    <row r="1" spans="1:12" x14ac:dyDescent="0.3">
      <c r="A1" s="79" t="s">
        <v>10</v>
      </c>
      <c r="B1" t="s">
        <v>119</v>
      </c>
    </row>
    <row r="3" spans="1:12" x14ac:dyDescent="0.3">
      <c r="A3" s="79" t="s">
        <v>154</v>
      </c>
      <c r="B3" s="79" t="s">
        <v>112</v>
      </c>
    </row>
    <row r="4" spans="1:12" x14ac:dyDescent="0.3">
      <c r="A4" s="79" t="s">
        <v>110</v>
      </c>
      <c r="B4" t="s">
        <v>120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  <c r="I4" t="s">
        <v>162</v>
      </c>
      <c r="J4" t="s">
        <v>163</v>
      </c>
      <c r="K4" t="s">
        <v>164</v>
      </c>
      <c r="L4" t="s">
        <v>111</v>
      </c>
    </row>
    <row r="5" spans="1:12" x14ac:dyDescent="0.3">
      <c r="A5" s="88" t="s">
        <v>104</v>
      </c>
      <c r="B5" s="89">
        <v>600000</v>
      </c>
      <c r="C5" s="89"/>
      <c r="D5" s="89"/>
      <c r="E5" s="89"/>
      <c r="F5" s="89"/>
      <c r="G5" s="89"/>
      <c r="H5" s="89"/>
      <c r="I5" s="89"/>
      <c r="J5" s="89"/>
      <c r="K5" s="89"/>
      <c r="L5" s="89">
        <v>600000</v>
      </c>
    </row>
    <row r="6" spans="1:12" x14ac:dyDescent="0.3">
      <c r="A6" s="88" t="s">
        <v>35</v>
      </c>
      <c r="B6" s="89">
        <v>2000000</v>
      </c>
      <c r="C6" s="89">
        <v>500000</v>
      </c>
      <c r="D6" s="89">
        <v>400000</v>
      </c>
      <c r="E6" s="89">
        <v>500000</v>
      </c>
      <c r="F6" s="89">
        <v>1100000</v>
      </c>
      <c r="G6" s="89">
        <v>500000</v>
      </c>
      <c r="H6" s="89">
        <v>700000</v>
      </c>
      <c r="I6" s="89">
        <v>500000</v>
      </c>
      <c r="J6" s="89">
        <v>1000000</v>
      </c>
      <c r="K6" s="89">
        <v>270000</v>
      </c>
      <c r="L6" s="89">
        <v>7470000</v>
      </c>
    </row>
    <row r="7" spans="1:12" x14ac:dyDescent="0.3">
      <c r="A7" s="88" t="s">
        <v>105</v>
      </c>
      <c r="B7" s="89">
        <v>2500000</v>
      </c>
      <c r="C7" s="89"/>
      <c r="D7" s="89">
        <v>500000</v>
      </c>
      <c r="E7" s="89">
        <v>500000</v>
      </c>
      <c r="F7" s="89"/>
      <c r="G7" s="89"/>
      <c r="H7" s="89"/>
      <c r="I7" s="89"/>
      <c r="J7" s="89"/>
      <c r="K7" s="89"/>
      <c r="L7" s="89">
        <v>3500000</v>
      </c>
    </row>
    <row r="8" spans="1:12" x14ac:dyDescent="0.3">
      <c r="A8" s="88" t="s">
        <v>53</v>
      </c>
      <c r="B8" s="89"/>
      <c r="C8" s="89">
        <v>380000</v>
      </c>
      <c r="D8" s="89">
        <v>420000</v>
      </c>
      <c r="E8" s="89"/>
      <c r="F8" s="89"/>
      <c r="G8" s="89"/>
      <c r="H8" s="89"/>
      <c r="I8" s="89"/>
      <c r="J8" s="89"/>
      <c r="K8" s="89"/>
      <c r="L8" s="89">
        <v>800000</v>
      </c>
    </row>
    <row r="9" spans="1:12" x14ac:dyDescent="0.3">
      <c r="A9" s="88" t="s">
        <v>111</v>
      </c>
      <c r="B9" s="89">
        <v>5100000</v>
      </c>
      <c r="C9" s="89">
        <v>880000</v>
      </c>
      <c r="D9" s="89">
        <v>1320000</v>
      </c>
      <c r="E9" s="89">
        <v>1000000</v>
      </c>
      <c r="F9" s="89">
        <v>1100000</v>
      </c>
      <c r="G9" s="89">
        <v>500000</v>
      </c>
      <c r="H9" s="89">
        <v>700000</v>
      </c>
      <c r="I9" s="89">
        <v>500000</v>
      </c>
      <c r="J9" s="89">
        <v>1000000</v>
      </c>
      <c r="K9" s="89">
        <v>270000</v>
      </c>
      <c r="L9" s="89">
        <v>12370000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отчет</vt:lpstr>
      <vt:lpstr>примечания</vt:lpstr>
      <vt:lpstr>СТ-отгрузки</vt:lpstr>
      <vt:lpstr>СТ-платежи</vt:lpstr>
      <vt:lpstr>отчет!Область_печати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zhukovski</dc:creator>
  <cp:lastModifiedBy>zhukovski</cp:lastModifiedBy>
  <cp:lastPrinted>2017-05-05T08:52:35Z</cp:lastPrinted>
  <dcterms:created xsi:type="dcterms:W3CDTF">2017-04-07T08:12:28Z</dcterms:created>
  <dcterms:modified xsi:type="dcterms:W3CDTF">2017-05-05T08:52:48Z</dcterms:modified>
</cp:coreProperties>
</file>