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1-应用软件\微信文件\WeChat Files\wxid_be1n1yywmt6222\xwechat_files\wxid_be1n1yywmt6222_3382\business\favorite\temp\"/>
    </mc:Choice>
  </mc:AlternateContent>
  <xr:revisionPtr revIDLastSave="0" documentId="13_ncr:1_{5F83A89B-02C6-493D-8C78-166B4DADA7EA}" xr6:coauthVersionLast="47" xr6:coauthVersionMax="47" xr10:uidLastSave="{00000000-0000-0000-0000-000000000000}"/>
  <bookViews>
    <workbookView xWindow="-108" yWindow="-108" windowWidth="30936" windowHeight="16896" activeTab="4" xr2:uid="{00000000-000D-0000-FFFF-FFFF00000000}"/>
  </bookViews>
  <sheets>
    <sheet name="Forecasted 3 Statements" sheetId="1" r:id="rId1"/>
    <sheet name="Schedules" sheetId="2" r:id="rId2"/>
    <sheet name="Financial Statements" sheetId="3" r:id="rId3"/>
    <sheet name="WACC" sheetId="4" r:id="rId4"/>
    <sheet name="DCF" sheetId="5" r:id="rId5"/>
  </sheets>
  <definedNames>
    <definedName name="CIQWBGuid">"a611639b-bab1-425e-aaa5-008c326fdfdb"</definedName>
    <definedName name="CODAT">WACC!$C$8</definedName>
    <definedName name="CODPT">WACC!$C$6</definedName>
    <definedName name="COE">WACC!$C$13</definedName>
    <definedName name="Google_Sheet_Link_1255514315" hidden="1">WACC</definedName>
    <definedName name="Google_Sheet_Link_135233792" hidden="1">LTG</definedName>
    <definedName name="Google_Sheet_Link_619036750" hidden="1">COE</definedName>
    <definedName name="Google_Sheet_Link_752900576" hidden="1">CODPT</definedName>
    <definedName name="Google_Sheet_Link_798453096" hidden="1">CODAT</definedName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43588.5561574074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  <definedName name="LTG">DCF!$C$33</definedName>
    <definedName name="MLNK841c85bef3244d5c8fb6b3f84988d79e">#REF!</definedName>
    <definedName name="MLNKa7775792bf444a4785f8ed5c82461a24">#REF!</definedName>
    <definedName name="WACC">DCF!$L$5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qek0HaMs0BZ05wcE43LIDev2EQXlEeNwED54crHfnAY="/>
    </ext>
  </extLst>
</workbook>
</file>

<file path=xl/calcChain.xml><?xml version="1.0" encoding="utf-8"?>
<calcChain xmlns="http://schemas.openxmlformats.org/spreadsheetml/2006/main">
  <c r="L61" i="5" l="1"/>
  <c r="K61" i="5"/>
  <c r="I61" i="5" l="1"/>
  <c r="H61" i="5" s="1"/>
  <c r="D87" i="5" l="1"/>
  <c r="D79" i="5"/>
  <c r="D78" i="5"/>
  <c r="D77" i="5"/>
  <c r="K37" i="5"/>
  <c r="J37" i="5"/>
  <c r="I37" i="5"/>
  <c r="H37" i="5"/>
  <c r="G37" i="5"/>
  <c r="L35" i="5"/>
  <c r="L38" i="5" s="1"/>
  <c r="K35" i="5"/>
  <c r="J35" i="5"/>
  <c r="I35" i="5"/>
  <c r="H35" i="5"/>
  <c r="G35" i="5"/>
  <c r="I34" i="5"/>
  <c r="H34" i="5" s="1"/>
  <c r="G34" i="5" s="1"/>
  <c r="K33" i="5"/>
  <c r="J33" i="5" s="1"/>
  <c r="I33" i="5" s="1"/>
  <c r="H33" i="5" s="1"/>
  <c r="G33" i="5" s="1"/>
  <c r="D28" i="5"/>
  <c r="D20" i="5"/>
  <c r="D16" i="5"/>
  <c r="D8" i="5"/>
  <c r="C29" i="5" s="1"/>
  <c r="H7" i="5"/>
  <c r="C102" i="5" s="1"/>
  <c r="H6" i="5"/>
  <c r="D6" i="5"/>
  <c r="E28" i="5" s="1"/>
  <c r="E87" i="5" s="1"/>
  <c r="H5" i="5"/>
  <c r="D5" i="5"/>
  <c r="D4" i="5"/>
  <c r="C13" i="4"/>
  <c r="L56" i="3"/>
  <c r="I55" i="3"/>
  <c r="L54" i="3"/>
  <c r="I53" i="3"/>
  <c r="L52" i="3"/>
  <c r="I51" i="3"/>
  <c r="L50" i="3"/>
  <c r="I48" i="3"/>
  <c r="L47" i="3"/>
  <c r="L46" i="3"/>
  <c r="K46" i="3"/>
  <c r="J46" i="3"/>
  <c r="I46" i="3"/>
  <c r="H46" i="3"/>
  <c r="L45" i="3"/>
  <c r="L44" i="3"/>
  <c r="K44" i="3"/>
  <c r="J44" i="3"/>
  <c r="I44" i="3"/>
  <c r="H44" i="3"/>
  <c r="O44" i="3" s="1"/>
  <c r="L43" i="3"/>
  <c r="I42" i="3"/>
  <c r="L41" i="3"/>
  <c r="L40" i="3"/>
  <c r="K40" i="3"/>
  <c r="J40" i="3"/>
  <c r="I40" i="3"/>
  <c r="H40" i="3"/>
  <c r="O40" i="3" s="1"/>
  <c r="L38" i="3"/>
  <c r="I37" i="3"/>
  <c r="L36" i="3"/>
  <c r="I35" i="3"/>
  <c r="L34" i="3"/>
  <c r="I33" i="3"/>
  <c r="N32" i="3"/>
  <c r="M32" i="3"/>
  <c r="L32" i="3"/>
  <c r="O32" i="3" s="1"/>
  <c r="K32" i="3"/>
  <c r="J32" i="3"/>
  <c r="I32" i="3"/>
  <c r="H32" i="3"/>
  <c r="I31" i="3"/>
  <c r="L30" i="3"/>
  <c r="J28" i="3"/>
  <c r="I28" i="3"/>
  <c r="H28" i="3" s="1"/>
  <c r="D28" i="3"/>
  <c r="C28" i="3" s="1"/>
  <c r="B28" i="3" s="1"/>
  <c r="L27" i="3"/>
  <c r="I27" i="3"/>
  <c r="J27" i="3" s="1"/>
  <c r="K27" i="3" s="1"/>
  <c r="C27" i="3"/>
  <c r="D27" i="3" s="1"/>
  <c r="E27" i="3" s="1"/>
  <c r="F27" i="3" s="1"/>
  <c r="T23" i="3"/>
  <c r="S23" i="3"/>
  <c r="R23" i="3"/>
  <c r="Q23" i="3"/>
  <c r="W23" i="3" s="1"/>
  <c r="T21" i="3"/>
  <c r="S21" i="3"/>
  <c r="R21" i="3"/>
  <c r="Q21" i="3"/>
  <c r="W21" i="3" s="1"/>
  <c r="L21" i="3"/>
  <c r="T20" i="3"/>
  <c r="S20" i="3"/>
  <c r="R20" i="3"/>
  <c r="Q20" i="3"/>
  <c r="T19" i="3"/>
  <c r="S19" i="3"/>
  <c r="R19" i="3"/>
  <c r="Q19" i="3"/>
  <c r="T18" i="3"/>
  <c r="S18" i="3"/>
  <c r="R18" i="3"/>
  <c r="Q18" i="3"/>
  <c r="W18" i="3" s="1"/>
  <c r="T16" i="3"/>
  <c r="S16" i="3"/>
  <c r="R16" i="3"/>
  <c r="Q16" i="3"/>
  <c r="W16" i="3" s="1"/>
  <c r="L16" i="3"/>
  <c r="U15" i="3"/>
  <c r="T15" i="3"/>
  <c r="S15" i="3"/>
  <c r="R15" i="3"/>
  <c r="Q15" i="3"/>
  <c r="T14" i="3"/>
  <c r="S14" i="3"/>
  <c r="R14" i="3"/>
  <c r="Q14" i="3"/>
  <c r="T13" i="3"/>
  <c r="S13" i="3"/>
  <c r="R13" i="3"/>
  <c r="Q13" i="3"/>
  <c r="W13" i="3" s="1"/>
  <c r="T12" i="3"/>
  <c r="S12" i="3"/>
  <c r="R12" i="3"/>
  <c r="U12" i="3" s="1"/>
  <c r="Q12" i="3"/>
  <c r="L12" i="3"/>
  <c r="L11" i="3"/>
  <c r="F11" i="3"/>
  <c r="F17" i="3" s="1"/>
  <c r="T10" i="3"/>
  <c r="S10" i="3"/>
  <c r="R10" i="3"/>
  <c r="Q10" i="3"/>
  <c r="T9" i="3"/>
  <c r="H24" i="2" s="1"/>
  <c r="I24" i="2" s="1"/>
  <c r="Q9" i="3"/>
  <c r="F9" i="3"/>
  <c r="L23" i="3" s="1"/>
  <c r="E9" i="3"/>
  <c r="K56" i="3" s="1"/>
  <c r="D9" i="3"/>
  <c r="J56" i="3" s="1"/>
  <c r="C9" i="3"/>
  <c r="I56" i="3" s="1"/>
  <c r="B9" i="3"/>
  <c r="U8" i="3"/>
  <c r="T8" i="3"/>
  <c r="S8" i="3"/>
  <c r="W8" i="3" s="1"/>
  <c r="R8" i="3"/>
  <c r="Q8" i="3"/>
  <c r="L8" i="3"/>
  <c r="J8" i="3"/>
  <c r="T7" i="3"/>
  <c r="S7" i="3"/>
  <c r="W7" i="3" s="1"/>
  <c r="R7" i="3"/>
  <c r="Q7" i="3"/>
  <c r="L7" i="3"/>
  <c r="S5" i="3"/>
  <c r="R5" i="3"/>
  <c r="Q5" i="3" s="1"/>
  <c r="J5" i="3"/>
  <c r="I5" i="3"/>
  <c r="H5" i="3" s="1"/>
  <c r="D5" i="3"/>
  <c r="C5" i="3" s="1"/>
  <c r="B5" i="3" s="1"/>
  <c r="I4" i="3"/>
  <c r="J4" i="3" s="1"/>
  <c r="K4" i="3" s="1"/>
  <c r="L4" i="3" s="1"/>
  <c r="C4" i="3"/>
  <c r="D4" i="3" s="1"/>
  <c r="E4" i="3" s="1"/>
  <c r="F4" i="3" s="1"/>
  <c r="Q119" i="2"/>
  <c r="P119" i="2"/>
  <c r="O119" i="2"/>
  <c r="N119" i="2"/>
  <c r="M119" i="2"/>
  <c r="L119" i="2"/>
  <c r="K119" i="2"/>
  <c r="J119" i="2"/>
  <c r="I119" i="2"/>
  <c r="I118" i="2" s="1"/>
  <c r="J118" i="2" s="1"/>
  <c r="K118" i="2" s="1"/>
  <c r="L118" i="2" s="1"/>
  <c r="M118" i="2" s="1"/>
  <c r="N118" i="2" s="1"/>
  <c r="O118" i="2"/>
  <c r="P118" i="2" s="1"/>
  <c r="Q118" i="2" s="1"/>
  <c r="G112" i="2"/>
  <c r="F109" i="2"/>
  <c r="G105" i="2"/>
  <c r="F105" i="2"/>
  <c r="E105" i="2"/>
  <c r="E104" i="2" s="1"/>
  <c r="D105" i="2"/>
  <c r="C105" i="2"/>
  <c r="D104" i="2"/>
  <c r="G103" i="2"/>
  <c r="F103" i="2"/>
  <c r="E103" i="2"/>
  <c r="F104" i="2" s="1"/>
  <c r="D103" i="2"/>
  <c r="C103" i="2"/>
  <c r="G100" i="2"/>
  <c r="G99" i="2" s="1"/>
  <c r="H99" i="2" s="1"/>
  <c r="F100" i="2"/>
  <c r="F99" i="2" s="1"/>
  <c r="E100" i="2"/>
  <c r="D100" i="2"/>
  <c r="E99" i="2"/>
  <c r="D99" i="2"/>
  <c r="G98" i="2"/>
  <c r="F98" i="2"/>
  <c r="E98" i="2"/>
  <c r="D98" i="2"/>
  <c r="C98" i="2"/>
  <c r="G96" i="2"/>
  <c r="F96" i="2"/>
  <c r="E96" i="2"/>
  <c r="D96" i="2"/>
  <c r="C96" i="2"/>
  <c r="F93" i="2"/>
  <c r="B93" i="2"/>
  <c r="B92" i="2"/>
  <c r="G81" i="2"/>
  <c r="H77" i="2" s="1"/>
  <c r="F81" i="2"/>
  <c r="G77" i="2" s="1"/>
  <c r="E81" i="2"/>
  <c r="F77" i="2" s="1"/>
  <c r="D81" i="2"/>
  <c r="C81" i="2"/>
  <c r="J79" i="2"/>
  <c r="K79" i="2" s="1"/>
  <c r="L79" i="2" s="1"/>
  <c r="M79" i="2" s="1"/>
  <c r="N79" i="2" s="1"/>
  <c r="O79" i="2" s="1"/>
  <c r="P79" i="2" s="1"/>
  <c r="Q79" i="2" s="1"/>
  <c r="I79" i="2"/>
  <c r="H79" i="2"/>
  <c r="E77" i="2"/>
  <c r="D77" i="2"/>
  <c r="G73" i="2"/>
  <c r="F73" i="2"/>
  <c r="E73" i="2"/>
  <c r="D73" i="2"/>
  <c r="G71" i="2"/>
  <c r="H70" i="2"/>
  <c r="G70" i="2"/>
  <c r="F70" i="2"/>
  <c r="E70" i="2"/>
  <c r="D70" i="2"/>
  <c r="G67" i="2"/>
  <c r="F67" i="2"/>
  <c r="F65" i="2" s="1"/>
  <c r="F71" i="2" s="1"/>
  <c r="E67" i="2"/>
  <c r="D67" i="2"/>
  <c r="D65" i="2" s="1"/>
  <c r="G65" i="2"/>
  <c r="E65" i="2"/>
  <c r="G61" i="2"/>
  <c r="E61" i="2"/>
  <c r="G59" i="2"/>
  <c r="F59" i="2"/>
  <c r="E59" i="2"/>
  <c r="F61" i="2" s="1"/>
  <c r="D59" i="2"/>
  <c r="C59" i="2"/>
  <c r="D61" i="2" s="1"/>
  <c r="G57" i="2"/>
  <c r="F57" i="2"/>
  <c r="H56" i="2"/>
  <c r="G56" i="2"/>
  <c r="F56" i="2"/>
  <c r="E56" i="2"/>
  <c r="E57" i="2" s="1"/>
  <c r="D56" i="2"/>
  <c r="D57" i="2" s="1"/>
  <c r="H54" i="2"/>
  <c r="F54" i="2"/>
  <c r="B54" i="2"/>
  <c r="B53" i="2"/>
  <c r="H33" i="2"/>
  <c r="I33" i="2" s="1"/>
  <c r="I11" i="2" s="1"/>
  <c r="J29" i="1" s="1"/>
  <c r="L29" i="2"/>
  <c r="M29" i="2" s="1"/>
  <c r="N29" i="2" s="1"/>
  <c r="O29" i="2" s="1"/>
  <c r="P29" i="2" s="1"/>
  <c r="Q29" i="2" s="1"/>
  <c r="H29" i="2"/>
  <c r="I29" i="2" s="1"/>
  <c r="J29" i="2" s="1"/>
  <c r="K29" i="2" s="1"/>
  <c r="Q28" i="2"/>
  <c r="P28" i="2"/>
  <c r="O28" i="2"/>
  <c r="N28" i="2"/>
  <c r="M28" i="2"/>
  <c r="L28" i="2"/>
  <c r="L10" i="2" s="1"/>
  <c r="M27" i="1" s="1"/>
  <c r="K28" i="2"/>
  <c r="J28" i="2"/>
  <c r="J10" i="2" s="1"/>
  <c r="K27" i="1" s="1"/>
  <c r="I28" i="2"/>
  <c r="I10" i="2" s="1"/>
  <c r="J27" i="1" s="1"/>
  <c r="H28" i="2"/>
  <c r="H10" i="2" s="1"/>
  <c r="I27" i="1" s="1"/>
  <c r="Q27" i="2"/>
  <c r="P27" i="2"/>
  <c r="O27" i="2"/>
  <c r="N27" i="2"/>
  <c r="M27" i="2"/>
  <c r="L27" i="2"/>
  <c r="K27" i="2"/>
  <c r="J27" i="2"/>
  <c r="I27" i="2"/>
  <c r="H27" i="2"/>
  <c r="J24" i="2"/>
  <c r="K24" i="2" s="1"/>
  <c r="L24" i="2" s="1"/>
  <c r="M24" i="2" s="1"/>
  <c r="N24" i="2" s="1"/>
  <c r="O24" i="2" s="1"/>
  <c r="P24" i="2" s="1"/>
  <c r="Q24" i="2" s="1"/>
  <c r="H23" i="2"/>
  <c r="I23" i="2" s="1"/>
  <c r="Q17" i="2"/>
  <c r="P17" i="2"/>
  <c r="O17" i="2"/>
  <c r="P42" i="1" s="1"/>
  <c r="N17" i="2"/>
  <c r="O42" i="1" s="1"/>
  <c r="M17" i="2"/>
  <c r="L17" i="2"/>
  <c r="M42" i="1" s="1"/>
  <c r="K17" i="2"/>
  <c r="J17" i="2"/>
  <c r="I17" i="2"/>
  <c r="H17" i="2"/>
  <c r="Q16" i="2"/>
  <c r="P16" i="2"/>
  <c r="O16" i="2"/>
  <c r="N16" i="2"/>
  <c r="M16" i="2"/>
  <c r="L16" i="2"/>
  <c r="K16" i="2"/>
  <c r="J16" i="2"/>
  <c r="I16" i="2"/>
  <c r="J41" i="1" s="1"/>
  <c r="H16" i="2"/>
  <c r="I41" i="1" s="1"/>
  <c r="Q15" i="2"/>
  <c r="P15" i="2"/>
  <c r="Q36" i="1" s="1"/>
  <c r="O15" i="2"/>
  <c r="N15" i="2"/>
  <c r="M15" i="2"/>
  <c r="L15" i="2"/>
  <c r="K15" i="2"/>
  <c r="J15" i="2"/>
  <c r="I15" i="2"/>
  <c r="H15" i="2"/>
  <c r="H11" i="2"/>
  <c r="I29" i="1" s="1"/>
  <c r="Q10" i="2"/>
  <c r="R27" i="1" s="1"/>
  <c r="P10" i="2"/>
  <c r="Q27" i="1" s="1"/>
  <c r="O10" i="2"/>
  <c r="P27" i="1" s="1"/>
  <c r="N10" i="2"/>
  <c r="O27" i="1" s="1"/>
  <c r="M10" i="2"/>
  <c r="N27" i="1" s="1"/>
  <c r="K10" i="2"/>
  <c r="L27" i="1" s="1"/>
  <c r="H7" i="2"/>
  <c r="I24" i="1" s="1"/>
  <c r="C5" i="2"/>
  <c r="I117" i="1"/>
  <c r="I106" i="1"/>
  <c r="C91" i="1"/>
  <c r="C90" i="1"/>
  <c r="H85" i="1"/>
  <c r="F85" i="1"/>
  <c r="E85" i="1"/>
  <c r="D85" i="1"/>
  <c r="I84" i="1"/>
  <c r="I101" i="1" s="1"/>
  <c r="H82" i="1"/>
  <c r="H86" i="2" s="1"/>
  <c r="G82" i="1"/>
  <c r="G85" i="1" s="1"/>
  <c r="F82" i="1"/>
  <c r="E82" i="1"/>
  <c r="D82" i="1"/>
  <c r="H77" i="1"/>
  <c r="G77" i="1"/>
  <c r="G87" i="1" s="1"/>
  <c r="H76" i="1"/>
  <c r="G76" i="1"/>
  <c r="F76" i="1"/>
  <c r="E76" i="1"/>
  <c r="E77" i="1" s="1"/>
  <c r="E87" i="1" s="1"/>
  <c r="D76" i="1"/>
  <c r="H72" i="1"/>
  <c r="G72" i="1"/>
  <c r="F72" i="1"/>
  <c r="F77" i="1" s="1"/>
  <c r="F87" i="1" s="1"/>
  <c r="E72" i="1"/>
  <c r="D72" i="1"/>
  <c r="D77" i="1" s="1"/>
  <c r="H67" i="1"/>
  <c r="G67" i="1"/>
  <c r="F67" i="1"/>
  <c r="E67" i="1"/>
  <c r="D67" i="1"/>
  <c r="I65" i="1"/>
  <c r="J65" i="1" s="1"/>
  <c r="G58" i="1"/>
  <c r="C58" i="1"/>
  <c r="C57" i="1"/>
  <c r="G43" i="1"/>
  <c r="R42" i="1"/>
  <c r="Q42" i="1"/>
  <c r="N42" i="1"/>
  <c r="L42" i="1"/>
  <c r="K42" i="1"/>
  <c r="J42" i="1"/>
  <c r="I42" i="1"/>
  <c r="R41" i="1"/>
  <c r="Q41" i="1"/>
  <c r="P41" i="1"/>
  <c r="O41" i="1"/>
  <c r="N41" i="1"/>
  <c r="M41" i="1"/>
  <c r="L41" i="1"/>
  <c r="K41" i="1"/>
  <c r="R36" i="1"/>
  <c r="P36" i="1"/>
  <c r="O36" i="1"/>
  <c r="N36" i="1"/>
  <c r="M36" i="1"/>
  <c r="L36" i="1"/>
  <c r="K36" i="1"/>
  <c r="J36" i="1"/>
  <c r="I36" i="1"/>
  <c r="G35" i="1"/>
  <c r="G33" i="1"/>
  <c r="G31" i="1"/>
  <c r="F31" i="1"/>
  <c r="E31" i="1"/>
  <c r="G29" i="1"/>
  <c r="E29" i="1"/>
  <c r="G27" i="1"/>
  <c r="G26" i="1"/>
  <c r="G37" i="1" s="1"/>
  <c r="F26" i="1"/>
  <c r="F37" i="1" s="1"/>
  <c r="E26" i="1"/>
  <c r="E37" i="1" s="1"/>
  <c r="F24" i="1"/>
  <c r="E24" i="1"/>
  <c r="H23" i="1"/>
  <c r="H20" i="1" s="1"/>
  <c r="G23" i="1"/>
  <c r="F23" i="1"/>
  <c r="E23" i="1"/>
  <c r="D23" i="1"/>
  <c r="D31" i="1" s="1"/>
  <c r="G22" i="1"/>
  <c r="E22" i="1"/>
  <c r="G20" i="1"/>
  <c r="F20" i="1"/>
  <c r="E20" i="1"/>
  <c r="D20" i="1"/>
  <c r="I17" i="1"/>
  <c r="H17" i="1"/>
  <c r="F17" i="1"/>
  <c r="E54" i="2" s="1"/>
  <c r="H16" i="1"/>
  <c r="G16" i="1"/>
  <c r="C2" i="1"/>
  <c r="D87" i="1" l="1"/>
  <c r="E27" i="1"/>
  <c r="G45" i="1"/>
  <c r="G46" i="1"/>
  <c r="F27" i="1"/>
  <c r="F92" i="2"/>
  <c r="F108" i="2"/>
  <c r="G57" i="1"/>
  <c r="F53" i="2"/>
  <c r="F16" i="1"/>
  <c r="D26" i="1"/>
  <c r="E93" i="2"/>
  <c r="E109" i="2"/>
  <c r="F58" i="1"/>
  <c r="E17" i="1"/>
  <c r="I7" i="2"/>
  <c r="J24" i="1" s="1"/>
  <c r="J23" i="2"/>
  <c r="E38" i="1"/>
  <c r="E43" i="1"/>
  <c r="E50" i="1"/>
  <c r="E53" i="1" s="1"/>
  <c r="D52" i="1"/>
  <c r="D33" i="1"/>
  <c r="G36" i="5"/>
  <c r="G38" i="5" s="1"/>
  <c r="D35" i="1"/>
  <c r="D22" i="1"/>
  <c r="G38" i="1"/>
  <c r="G50" i="1"/>
  <c r="G53" i="1" s="1"/>
  <c r="K36" i="5"/>
  <c r="K38" i="5" s="1"/>
  <c r="H52" i="1"/>
  <c r="H33" i="1"/>
  <c r="G66" i="2"/>
  <c r="H35" i="1"/>
  <c r="I23" i="1"/>
  <c r="H22" i="1"/>
  <c r="H29" i="1"/>
  <c r="I99" i="2"/>
  <c r="C6" i="4"/>
  <c r="H24" i="1"/>
  <c r="F38" i="1"/>
  <c r="F43" i="1"/>
  <c r="F50" i="1"/>
  <c r="F53" i="1" s="1"/>
  <c r="D29" i="1"/>
  <c r="H93" i="2"/>
  <c r="H109" i="2"/>
  <c r="H6" i="2"/>
  <c r="I58" i="1"/>
  <c r="I91" i="1"/>
  <c r="J17" i="1"/>
  <c r="I36" i="5"/>
  <c r="F52" i="1"/>
  <c r="F33" i="1"/>
  <c r="F35" i="1"/>
  <c r="F22" i="1"/>
  <c r="F29" i="1"/>
  <c r="G24" i="1"/>
  <c r="H26" i="1"/>
  <c r="H31" i="1"/>
  <c r="J106" i="1"/>
  <c r="K65" i="1"/>
  <c r="V16" i="3"/>
  <c r="E71" i="2"/>
  <c r="E72" i="2" s="1"/>
  <c r="E66" i="2"/>
  <c r="H36" i="5"/>
  <c r="H38" i="5" s="1"/>
  <c r="E52" i="1"/>
  <c r="E33" i="1"/>
  <c r="H87" i="1"/>
  <c r="U9" i="3"/>
  <c r="V9" i="3" s="1"/>
  <c r="I38" i="5"/>
  <c r="G93" i="2"/>
  <c r="G109" i="2"/>
  <c r="G54" i="2"/>
  <c r="H58" i="1"/>
  <c r="J36" i="5"/>
  <c r="J38" i="5" s="1"/>
  <c r="G52" i="1"/>
  <c r="F66" i="2"/>
  <c r="W10" i="3"/>
  <c r="U10" i="3"/>
  <c r="V10" i="3" s="1"/>
  <c r="D71" i="2"/>
  <c r="D72" i="2" s="1"/>
  <c r="D66" i="2"/>
  <c r="C88" i="5"/>
  <c r="G92" i="2"/>
  <c r="G108" i="2"/>
  <c r="H57" i="1"/>
  <c r="G53" i="2"/>
  <c r="E35" i="1"/>
  <c r="I16" i="1"/>
  <c r="W19" i="3"/>
  <c r="U19" i="3"/>
  <c r="V19" i="3" s="1"/>
  <c r="G104" i="2"/>
  <c r="H104" i="2" s="1"/>
  <c r="G72" i="2"/>
  <c r="D80" i="5"/>
  <c r="D83" i="5" s="1"/>
  <c r="V13" i="3"/>
  <c r="W20" i="3"/>
  <c r="F22" i="3"/>
  <c r="L17" i="3"/>
  <c r="V23" i="3"/>
  <c r="J84" i="1"/>
  <c r="W14" i="3"/>
  <c r="U14" i="3"/>
  <c r="V14" i="3" s="1"/>
  <c r="H22" i="2"/>
  <c r="I22" i="2" s="1"/>
  <c r="J22" i="2" s="1"/>
  <c r="K22" i="2" s="1"/>
  <c r="L22" i="2" s="1"/>
  <c r="M22" i="2" s="1"/>
  <c r="N22" i="2" s="1"/>
  <c r="O22" i="2" s="1"/>
  <c r="P22" i="2" s="1"/>
  <c r="Q22" i="2" s="1"/>
  <c r="H56" i="3"/>
  <c r="H54" i="3"/>
  <c r="H52" i="3"/>
  <c r="H50" i="3"/>
  <c r="H47" i="3"/>
  <c r="H45" i="3"/>
  <c r="H43" i="3"/>
  <c r="H41" i="3"/>
  <c r="H38" i="3"/>
  <c r="H36" i="3"/>
  <c r="H34" i="3"/>
  <c r="H30" i="3"/>
  <c r="H12" i="3"/>
  <c r="H23" i="3"/>
  <c r="H18" i="3"/>
  <c r="H13" i="3"/>
  <c r="H19" i="3"/>
  <c r="H14" i="3"/>
  <c r="H9" i="3"/>
  <c r="H20" i="3"/>
  <c r="H15" i="3"/>
  <c r="H10" i="3"/>
  <c r="H21" i="3"/>
  <c r="H16" i="3"/>
  <c r="B11" i="3"/>
  <c r="H7" i="3"/>
  <c r="H8" i="3"/>
  <c r="H55" i="3"/>
  <c r="H53" i="3"/>
  <c r="H51" i="3"/>
  <c r="H48" i="3"/>
  <c r="H42" i="3"/>
  <c r="H37" i="3"/>
  <c r="H35" i="3"/>
  <c r="H33" i="3"/>
  <c r="H31" i="3"/>
  <c r="U20" i="3"/>
  <c r="V20" i="3" s="1"/>
  <c r="F72" i="2"/>
  <c r="W15" i="3"/>
  <c r="V15" i="3"/>
  <c r="H61" i="2"/>
  <c r="W12" i="3"/>
  <c r="V7" i="3"/>
  <c r="O46" i="3"/>
  <c r="U7" i="3"/>
  <c r="V8" i="3"/>
  <c r="R9" i="3"/>
  <c r="W9" i="3" s="1"/>
  <c r="S9" i="3"/>
  <c r="U16" i="3"/>
  <c r="U21" i="3"/>
  <c r="V21" i="3" s="1"/>
  <c r="J31" i="3"/>
  <c r="J33" i="3"/>
  <c r="J35" i="3"/>
  <c r="J37" i="3"/>
  <c r="J42" i="3"/>
  <c r="J48" i="3"/>
  <c r="J51" i="3"/>
  <c r="J53" i="3"/>
  <c r="J55" i="3"/>
  <c r="C66" i="5"/>
  <c r="I8" i="3"/>
  <c r="U13" i="3"/>
  <c r="U18" i="3"/>
  <c r="V18" i="3" s="1"/>
  <c r="U23" i="3"/>
  <c r="K31" i="3"/>
  <c r="K33" i="3"/>
  <c r="K35" i="3"/>
  <c r="K37" i="3"/>
  <c r="K42" i="3"/>
  <c r="K48" i="3"/>
  <c r="K51" i="3"/>
  <c r="K53" i="3"/>
  <c r="K55" i="3"/>
  <c r="H8" i="5"/>
  <c r="I7" i="3"/>
  <c r="L31" i="3"/>
  <c r="L33" i="3"/>
  <c r="L35" i="3"/>
  <c r="L37" i="3"/>
  <c r="L42" i="3"/>
  <c r="L48" i="3"/>
  <c r="L51" i="3"/>
  <c r="L53" i="3"/>
  <c r="L55" i="3"/>
  <c r="J7" i="3"/>
  <c r="K8" i="3"/>
  <c r="C11" i="3"/>
  <c r="V12" i="3"/>
  <c r="I16" i="3"/>
  <c r="I21" i="3"/>
  <c r="M40" i="3"/>
  <c r="M44" i="3"/>
  <c r="M46" i="3"/>
  <c r="K7" i="3"/>
  <c r="I10" i="3"/>
  <c r="D11" i="3"/>
  <c r="I15" i="3"/>
  <c r="J16" i="3"/>
  <c r="I20" i="3"/>
  <c r="J21" i="3"/>
  <c r="N40" i="3"/>
  <c r="N44" i="3"/>
  <c r="N46" i="3"/>
  <c r="I9" i="3"/>
  <c r="J10" i="3"/>
  <c r="E11" i="3"/>
  <c r="I14" i="3"/>
  <c r="J15" i="3"/>
  <c r="K16" i="3"/>
  <c r="I19" i="3"/>
  <c r="J20" i="3"/>
  <c r="K21" i="3"/>
  <c r="J9" i="3"/>
  <c r="K10" i="3"/>
  <c r="I13" i="3"/>
  <c r="J14" i="3"/>
  <c r="K15" i="3"/>
  <c r="I18" i="3"/>
  <c r="J19" i="3"/>
  <c r="K20" i="3"/>
  <c r="I23" i="3"/>
  <c r="K9" i="3"/>
  <c r="L10" i="3"/>
  <c r="I12" i="3"/>
  <c r="J13" i="3"/>
  <c r="K14" i="3"/>
  <c r="L15" i="3"/>
  <c r="H48" i="2" s="1"/>
  <c r="J18" i="3"/>
  <c r="K19" i="3"/>
  <c r="L20" i="3"/>
  <c r="J23" i="3"/>
  <c r="I30" i="3"/>
  <c r="I34" i="3"/>
  <c r="I36" i="3"/>
  <c r="I38" i="3"/>
  <c r="I41" i="3"/>
  <c r="I43" i="3"/>
  <c r="I45" i="3"/>
  <c r="I47" i="3"/>
  <c r="I50" i="3"/>
  <c r="I52" i="3"/>
  <c r="I54" i="3"/>
  <c r="L9" i="3"/>
  <c r="J12" i="3"/>
  <c r="K13" i="3"/>
  <c r="L14" i="3"/>
  <c r="H43" i="2" s="1"/>
  <c r="K18" i="3"/>
  <c r="L19" i="3"/>
  <c r="K23" i="3"/>
  <c r="J30" i="3"/>
  <c r="J34" i="3"/>
  <c r="J36" i="3"/>
  <c r="J38" i="3"/>
  <c r="J41" i="3"/>
  <c r="J43" i="3"/>
  <c r="J45" i="3"/>
  <c r="J47" i="3"/>
  <c r="J50" i="3"/>
  <c r="J52" i="3"/>
  <c r="J54" i="3"/>
  <c r="K12" i="3"/>
  <c r="L13" i="3"/>
  <c r="H38" i="2" s="1"/>
  <c r="L18" i="3"/>
  <c r="K30" i="3"/>
  <c r="K34" i="3"/>
  <c r="K36" i="3"/>
  <c r="K38" i="3"/>
  <c r="K41" i="3"/>
  <c r="K43" i="3"/>
  <c r="K45" i="3"/>
  <c r="K47" i="3"/>
  <c r="K50" i="3"/>
  <c r="K52" i="3"/>
  <c r="K54" i="3"/>
  <c r="D93" i="2" l="1"/>
  <c r="D109" i="2"/>
  <c r="D54" i="2"/>
  <c r="E58" i="1"/>
  <c r="D17" i="1"/>
  <c r="O30" i="3"/>
  <c r="N30" i="3"/>
  <c r="M30" i="3"/>
  <c r="J101" i="1"/>
  <c r="K84" i="1"/>
  <c r="P66" i="2"/>
  <c r="O66" i="2"/>
  <c r="N66" i="2"/>
  <c r="M66" i="2"/>
  <c r="L66" i="2"/>
  <c r="K66" i="2"/>
  <c r="J66" i="2"/>
  <c r="I66" i="2"/>
  <c r="H66" i="2"/>
  <c r="H65" i="2" s="1"/>
  <c r="H71" i="2" s="1"/>
  <c r="Q66" i="2"/>
  <c r="O41" i="3"/>
  <c r="M41" i="3"/>
  <c r="N41" i="3"/>
  <c r="N10" i="3"/>
  <c r="M10" i="3"/>
  <c r="O10" i="3"/>
  <c r="O45" i="3"/>
  <c r="N45" i="3"/>
  <c r="M45" i="3"/>
  <c r="E92" i="2"/>
  <c r="E108" i="2"/>
  <c r="F57" i="1"/>
  <c r="E53" i="2"/>
  <c r="E16" i="1"/>
  <c r="O38" i="3"/>
  <c r="N38" i="3"/>
  <c r="M38" i="3"/>
  <c r="O21" i="3"/>
  <c r="N21" i="3"/>
  <c r="M21" i="3"/>
  <c r="F45" i="1"/>
  <c r="F46" i="1"/>
  <c r="O34" i="3"/>
  <c r="M34" i="3"/>
  <c r="N34" i="3"/>
  <c r="F24" i="3"/>
  <c r="L22" i="3"/>
  <c r="O16" i="3"/>
  <c r="N16" i="3"/>
  <c r="M16" i="3"/>
  <c r="O47" i="3"/>
  <c r="N47" i="3"/>
  <c r="M47" i="3"/>
  <c r="O33" i="3"/>
  <c r="N33" i="3"/>
  <c r="M33" i="3"/>
  <c r="M9" i="3"/>
  <c r="N9" i="3"/>
  <c r="O9" i="3"/>
  <c r="O52" i="3"/>
  <c r="N52" i="3"/>
  <c r="M52" i="3"/>
  <c r="N38" i="5"/>
  <c r="O36" i="3"/>
  <c r="N36" i="3"/>
  <c r="M36" i="3"/>
  <c r="O43" i="3"/>
  <c r="N43" i="3"/>
  <c r="M43" i="3"/>
  <c r="H37" i="1"/>
  <c r="H27" i="1"/>
  <c r="J11" i="3"/>
  <c r="D17" i="3"/>
  <c r="R11" i="3"/>
  <c r="O35" i="3"/>
  <c r="N35" i="3"/>
  <c r="M35" i="3"/>
  <c r="M14" i="3"/>
  <c r="N14" i="3"/>
  <c r="H42" i="2" s="1"/>
  <c r="I42" i="2" s="1"/>
  <c r="J42" i="2" s="1"/>
  <c r="K42" i="2" s="1"/>
  <c r="L42" i="2" s="1"/>
  <c r="M42" i="2" s="1"/>
  <c r="N42" i="2" s="1"/>
  <c r="O42" i="2" s="1"/>
  <c r="P42" i="2" s="1"/>
  <c r="Q42" i="2" s="1"/>
  <c r="O14" i="3"/>
  <c r="H44" i="2" s="1"/>
  <c r="I44" i="2" s="1"/>
  <c r="J44" i="2" s="1"/>
  <c r="K44" i="2" s="1"/>
  <c r="L44" i="2" s="1"/>
  <c r="M44" i="2" s="1"/>
  <c r="N44" i="2" s="1"/>
  <c r="O44" i="2" s="1"/>
  <c r="P44" i="2" s="1"/>
  <c r="Q44" i="2" s="1"/>
  <c r="O54" i="3"/>
  <c r="M54" i="3"/>
  <c r="N54" i="3"/>
  <c r="N15" i="3"/>
  <c r="H47" i="2" s="1"/>
  <c r="I47" i="2" s="1"/>
  <c r="J47" i="2" s="1"/>
  <c r="K47" i="2" s="1"/>
  <c r="L47" i="2" s="1"/>
  <c r="M47" i="2" s="1"/>
  <c r="N47" i="2" s="1"/>
  <c r="O47" i="2" s="1"/>
  <c r="P47" i="2" s="1"/>
  <c r="Q47" i="2" s="1"/>
  <c r="M15" i="3"/>
  <c r="O15" i="3"/>
  <c r="H49" i="2" s="1"/>
  <c r="I49" i="2" s="1"/>
  <c r="J49" i="2" s="1"/>
  <c r="K49" i="2" s="1"/>
  <c r="L49" i="2" s="1"/>
  <c r="M49" i="2" s="1"/>
  <c r="N49" i="2" s="1"/>
  <c r="O49" i="2" s="1"/>
  <c r="P49" i="2" s="1"/>
  <c r="Q49" i="2" s="1"/>
  <c r="N20" i="3"/>
  <c r="M20" i="3"/>
  <c r="O20" i="3"/>
  <c r="I48" i="2"/>
  <c r="H14" i="2"/>
  <c r="I35" i="1" s="1"/>
  <c r="I34" i="1" s="1"/>
  <c r="I66" i="1"/>
  <c r="H73" i="2" s="1"/>
  <c r="O37" i="3"/>
  <c r="N37" i="3"/>
  <c r="M37" i="3"/>
  <c r="M19" i="3"/>
  <c r="N19" i="3"/>
  <c r="O19" i="3"/>
  <c r="O56" i="3"/>
  <c r="N56" i="3"/>
  <c r="M56" i="3"/>
  <c r="Q19" i="2"/>
  <c r="R52" i="1" s="1"/>
  <c r="P19" i="2"/>
  <c r="Q52" i="1" s="1"/>
  <c r="O19" i="2"/>
  <c r="P52" i="1" s="1"/>
  <c r="N19" i="2"/>
  <c r="O52" i="1" s="1"/>
  <c r="M19" i="2"/>
  <c r="N52" i="1" s="1"/>
  <c r="L19" i="2"/>
  <c r="M52" i="1" s="1"/>
  <c r="I19" i="2"/>
  <c r="J52" i="1" s="1"/>
  <c r="K19" i="2"/>
  <c r="L52" i="1" s="1"/>
  <c r="J19" i="2"/>
  <c r="K52" i="1" s="1"/>
  <c r="H19" i="2"/>
  <c r="I52" i="1" s="1"/>
  <c r="I51" i="1" s="1"/>
  <c r="H92" i="2"/>
  <c r="H108" i="2"/>
  <c r="I57" i="1"/>
  <c r="H53" i="2"/>
  <c r="I90" i="1"/>
  <c r="H5" i="2"/>
  <c r="J16" i="1"/>
  <c r="O7" i="3"/>
  <c r="N7" i="3"/>
  <c r="M7" i="3"/>
  <c r="K106" i="1"/>
  <c r="L65" i="1"/>
  <c r="I11" i="3"/>
  <c r="C17" i="3"/>
  <c r="Q11" i="3"/>
  <c r="O31" i="3"/>
  <c r="N31" i="3"/>
  <c r="M31" i="3"/>
  <c r="O42" i="3"/>
  <c r="N42" i="3"/>
  <c r="M42" i="3"/>
  <c r="J99" i="2"/>
  <c r="F78" i="2"/>
  <c r="G47" i="1"/>
  <c r="I61" i="2"/>
  <c r="H11" i="3"/>
  <c r="B17" i="3"/>
  <c r="I43" i="2"/>
  <c r="H13" i="2"/>
  <c r="I33" i="1" s="1"/>
  <c r="I32" i="1" s="1"/>
  <c r="O50" i="3"/>
  <c r="N50" i="3"/>
  <c r="M50" i="3"/>
  <c r="I71" i="1"/>
  <c r="I64" i="1"/>
  <c r="M13" i="3"/>
  <c r="O13" i="3"/>
  <c r="N13" i="3"/>
  <c r="H37" i="2" s="1"/>
  <c r="I37" i="2" s="1"/>
  <c r="J37" i="2" s="1"/>
  <c r="K37" i="2" s="1"/>
  <c r="L37" i="2" s="1"/>
  <c r="M37" i="2" s="1"/>
  <c r="N37" i="2" s="1"/>
  <c r="O37" i="2" s="1"/>
  <c r="P37" i="2" s="1"/>
  <c r="Q37" i="2" s="1"/>
  <c r="I109" i="2"/>
  <c r="I93" i="2"/>
  <c r="I6" i="2"/>
  <c r="J58" i="1"/>
  <c r="J91" i="1"/>
  <c r="K17" i="1"/>
  <c r="I54" i="2"/>
  <c r="E45" i="1"/>
  <c r="E46" i="1"/>
  <c r="E17" i="3"/>
  <c r="T11" i="3"/>
  <c r="S11" i="3"/>
  <c r="K11" i="3"/>
  <c r="O55" i="3"/>
  <c r="N55" i="3"/>
  <c r="M55" i="3"/>
  <c r="D37" i="1"/>
  <c r="D27" i="1"/>
  <c r="O48" i="3"/>
  <c r="N48" i="3"/>
  <c r="M48" i="3"/>
  <c r="I60" i="1"/>
  <c r="O51" i="3"/>
  <c r="N51" i="3"/>
  <c r="M51" i="3"/>
  <c r="M23" i="3"/>
  <c r="O23" i="3"/>
  <c r="N23" i="3"/>
  <c r="H9" i="2"/>
  <c r="F9" i="2"/>
  <c r="O8" i="3"/>
  <c r="N8" i="3"/>
  <c r="M8" i="3"/>
  <c r="I38" i="2"/>
  <c r="H12" i="2"/>
  <c r="I31" i="1" s="1"/>
  <c r="I30" i="1" s="1"/>
  <c r="I104" i="2"/>
  <c r="I62" i="1"/>
  <c r="M18" i="3"/>
  <c r="O18" i="3"/>
  <c r="N18" i="3"/>
  <c r="O53" i="3"/>
  <c r="N53" i="3"/>
  <c r="M53" i="3"/>
  <c r="O12" i="3"/>
  <c r="N12" i="3"/>
  <c r="M12" i="3"/>
  <c r="I74" i="1"/>
  <c r="I75" i="1"/>
  <c r="I98" i="1" s="1"/>
  <c r="I59" i="1"/>
  <c r="J23" i="1"/>
  <c r="J62" i="1" s="1"/>
  <c r="I28" i="1"/>
  <c r="I70" i="1"/>
  <c r="I26" i="1"/>
  <c r="J7" i="2"/>
  <c r="K24" i="1" s="1"/>
  <c r="K23" i="2"/>
  <c r="J64" i="1" l="1"/>
  <c r="J100" i="1" s="1"/>
  <c r="W11" i="3"/>
  <c r="U11" i="3"/>
  <c r="V11" i="3" s="1"/>
  <c r="H72" i="2"/>
  <c r="I105" i="1" s="1"/>
  <c r="I70" i="2"/>
  <c r="E16" i="5"/>
  <c r="I118" i="1"/>
  <c r="H103" i="2"/>
  <c r="H105" i="2" s="1"/>
  <c r="I39" i="1" s="1"/>
  <c r="I12" i="2"/>
  <c r="J31" i="1" s="1"/>
  <c r="J30" i="1" s="1"/>
  <c r="J38" i="2"/>
  <c r="J66" i="1"/>
  <c r="I73" i="2" s="1"/>
  <c r="L24" i="3"/>
  <c r="K17" i="3"/>
  <c r="E22" i="3"/>
  <c r="S17" i="3"/>
  <c r="T17" i="3"/>
  <c r="I100" i="1"/>
  <c r="I14" i="2"/>
  <c r="J35" i="1" s="1"/>
  <c r="J34" i="1" s="1"/>
  <c r="J48" i="2"/>
  <c r="I63" i="1"/>
  <c r="J63" i="1"/>
  <c r="I59" i="2" s="1"/>
  <c r="H87" i="2"/>
  <c r="H117" i="2"/>
  <c r="I95" i="1"/>
  <c r="J51" i="1"/>
  <c r="J17" i="3"/>
  <c r="D22" i="3"/>
  <c r="R17" i="3"/>
  <c r="E78" i="2"/>
  <c r="F47" i="1"/>
  <c r="J74" i="1"/>
  <c r="J107" i="1" s="1"/>
  <c r="J75" i="1"/>
  <c r="J98" i="1" s="1"/>
  <c r="J59" i="1"/>
  <c r="J70" i="1"/>
  <c r="J28" i="1"/>
  <c r="J26" i="1"/>
  <c r="K23" i="1"/>
  <c r="K63" i="1" s="1"/>
  <c r="J59" i="2" s="1"/>
  <c r="K101" i="1"/>
  <c r="L84" i="1"/>
  <c r="J43" i="2"/>
  <c r="I13" i="2"/>
  <c r="J33" i="1" s="1"/>
  <c r="J32" i="1" s="1"/>
  <c r="I17" i="3"/>
  <c r="C22" i="3"/>
  <c r="Q17" i="3"/>
  <c r="E47" i="1"/>
  <c r="D78" i="2"/>
  <c r="H17" i="3"/>
  <c r="B22" i="3"/>
  <c r="H38" i="1"/>
  <c r="H50" i="1"/>
  <c r="H53" i="1" s="1"/>
  <c r="H43" i="1"/>
  <c r="J109" i="2"/>
  <c r="J6" i="2"/>
  <c r="K58" i="1"/>
  <c r="K91" i="1"/>
  <c r="J93" i="2"/>
  <c r="J54" i="2"/>
  <c r="L17" i="1"/>
  <c r="H97" i="2"/>
  <c r="I107" i="1"/>
  <c r="O11" i="3"/>
  <c r="N11" i="3"/>
  <c r="M11" i="3"/>
  <c r="L106" i="1"/>
  <c r="M65" i="1"/>
  <c r="J61" i="2"/>
  <c r="I9" i="2"/>
  <c r="H8" i="2"/>
  <c r="I20" i="1" s="1"/>
  <c r="I19" i="1" s="1"/>
  <c r="I22" i="1"/>
  <c r="I21" i="1" s="1"/>
  <c r="Q32" i="2"/>
  <c r="P32" i="2"/>
  <c r="O32" i="2"/>
  <c r="N32" i="2"/>
  <c r="M32" i="2"/>
  <c r="L32" i="2"/>
  <c r="K32" i="2"/>
  <c r="J32" i="2"/>
  <c r="I32" i="2"/>
  <c r="H32" i="2"/>
  <c r="D38" i="1"/>
  <c r="D43" i="1"/>
  <c r="D50" i="1"/>
  <c r="D53" i="1" s="1"/>
  <c r="C93" i="2"/>
  <c r="C109" i="2"/>
  <c r="C54" i="2"/>
  <c r="D58" i="1"/>
  <c r="M34" i="2"/>
  <c r="L34" i="2"/>
  <c r="K34" i="2"/>
  <c r="J34" i="2"/>
  <c r="I34" i="2"/>
  <c r="H34" i="2"/>
  <c r="O34" i="2"/>
  <c r="Q34" i="2"/>
  <c r="P34" i="2"/>
  <c r="N34" i="2"/>
  <c r="K7" i="2"/>
  <c r="L24" i="1" s="1"/>
  <c r="L23" i="2"/>
  <c r="O39" i="2"/>
  <c r="N39" i="2"/>
  <c r="M39" i="2"/>
  <c r="L39" i="2"/>
  <c r="K39" i="2"/>
  <c r="J39" i="2"/>
  <c r="I39" i="2"/>
  <c r="H39" i="2"/>
  <c r="Q39" i="2"/>
  <c r="P39" i="2"/>
  <c r="D92" i="2"/>
  <c r="D108" i="2"/>
  <c r="E57" i="1"/>
  <c r="D53" i="2"/>
  <c r="D16" i="1"/>
  <c r="I65" i="2"/>
  <c r="I71" i="2" s="1"/>
  <c r="Q33" i="2"/>
  <c r="Q11" i="2" s="1"/>
  <c r="R29" i="1" s="1"/>
  <c r="P33" i="2"/>
  <c r="P11" i="2" s="1"/>
  <c r="Q29" i="1" s="1"/>
  <c r="O33" i="2"/>
  <c r="O11" i="2" s="1"/>
  <c r="P29" i="1" s="1"/>
  <c r="N33" i="2"/>
  <c r="N11" i="2" s="1"/>
  <c r="O29" i="1" s="1"/>
  <c r="M33" i="2"/>
  <c r="M11" i="2" s="1"/>
  <c r="N29" i="1" s="1"/>
  <c r="M1" i="3"/>
  <c r="L33" i="2"/>
  <c r="L11" i="2" s="1"/>
  <c r="M29" i="1" s="1"/>
  <c r="J33" i="2"/>
  <c r="J11" i="2" s="1"/>
  <c r="K29" i="1" s="1"/>
  <c r="K33" i="2"/>
  <c r="K11" i="2" s="1"/>
  <c r="L29" i="1" s="1"/>
  <c r="J104" i="2"/>
  <c r="J71" i="1"/>
  <c r="I108" i="2"/>
  <c r="I92" i="2"/>
  <c r="J57" i="1"/>
  <c r="I53" i="2"/>
  <c r="I5" i="2"/>
  <c r="J90" i="1"/>
  <c r="K16" i="1"/>
  <c r="I37" i="1"/>
  <c r="I25" i="1"/>
  <c r="J60" i="1"/>
  <c r="K99" i="2"/>
  <c r="I58" i="2" l="1"/>
  <c r="I67" i="2" s="1"/>
  <c r="J49" i="1" s="1"/>
  <c r="J94" i="1" s="1"/>
  <c r="I72" i="2"/>
  <c r="J105" i="1" s="1"/>
  <c r="J70" i="2"/>
  <c r="L7" i="2"/>
  <c r="M24" i="1" s="1"/>
  <c r="M23" i="2"/>
  <c r="J9" i="2"/>
  <c r="I8" i="2"/>
  <c r="J20" i="1" s="1"/>
  <c r="J19" i="1" s="1"/>
  <c r="J22" i="1"/>
  <c r="J21" i="1" s="1"/>
  <c r="K74" i="1"/>
  <c r="K107" i="1" s="1"/>
  <c r="K75" i="1"/>
  <c r="K98" i="1" s="1"/>
  <c r="K59" i="1"/>
  <c r="K70" i="1"/>
  <c r="L23" i="1"/>
  <c r="K28" i="1"/>
  <c r="K26" i="1"/>
  <c r="K71" i="1"/>
  <c r="K62" i="1"/>
  <c r="K64" i="1"/>
  <c r="K66" i="1"/>
  <c r="J73" i="2" s="1"/>
  <c r="K60" i="1"/>
  <c r="J12" i="2"/>
  <c r="K31" i="1" s="1"/>
  <c r="K30" i="1" s="1"/>
  <c r="K38" i="2"/>
  <c r="K43" i="2"/>
  <c r="J13" i="2"/>
  <c r="K33" i="1" s="1"/>
  <c r="K32" i="1" s="1"/>
  <c r="C92" i="2"/>
  <c r="C108" i="2"/>
  <c r="D57" i="1"/>
  <c r="C53" i="2"/>
  <c r="J22" i="3"/>
  <c r="D24" i="3"/>
  <c r="R22" i="3"/>
  <c r="D45" i="1"/>
  <c r="D46" i="1"/>
  <c r="M106" i="1"/>
  <c r="N65" i="1"/>
  <c r="I87" i="2"/>
  <c r="I117" i="2"/>
  <c r="J95" i="1"/>
  <c r="K51" i="1"/>
  <c r="I119" i="1"/>
  <c r="J117" i="1"/>
  <c r="I38" i="1"/>
  <c r="K61" i="2"/>
  <c r="J58" i="2"/>
  <c r="H59" i="2"/>
  <c r="H58" i="2"/>
  <c r="H67" i="2" s="1"/>
  <c r="I49" i="1" s="1"/>
  <c r="I94" i="1" s="1"/>
  <c r="J37" i="1"/>
  <c r="J25" i="1"/>
  <c r="J108" i="2"/>
  <c r="K57" i="1"/>
  <c r="J53" i="2"/>
  <c r="J5" i="2"/>
  <c r="J92" i="2"/>
  <c r="K90" i="1"/>
  <c r="L16" i="1"/>
  <c r="H22" i="3"/>
  <c r="B24" i="3"/>
  <c r="H24" i="3" s="1"/>
  <c r="E17" i="5"/>
  <c r="E78" i="5"/>
  <c r="O17" i="3"/>
  <c r="N17" i="3"/>
  <c r="M17" i="3"/>
  <c r="K48" i="2"/>
  <c r="J14" i="2"/>
  <c r="K35" i="1" s="1"/>
  <c r="K34" i="1" s="1"/>
  <c r="K104" i="2"/>
  <c r="I103" i="2"/>
  <c r="I105" i="2" s="1"/>
  <c r="J39" i="1" s="1"/>
  <c r="F16" i="5"/>
  <c r="J56" i="2"/>
  <c r="H45" i="1"/>
  <c r="D23" i="5" s="1"/>
  <c r="D22" i="5" s="1"/>
  <c r="D24" i="5" s="1"/>
  <c r="H46" i="1"/>
  <c r="J65" i="2"/>
  <c r="J71" i="2" s="1"/>
  <c r="L99" i="2"/>
  <c r="W17" i="3"/>
  <c r="V17" i="3"/>
  <c r="U17" i="3"/>
  <c r="K56" i="2"/>
  <c r="I22" i="3"/>
  <c r="C24" i="3"/>
  <c r="Q22" i="3"/>
  <c r="I97" i="2"/>
  <c r="K22" i="3"/>
  <c r="E24" i="3"/>
  <c r="S22" i="3"/>
  <c r="T22" i="3"/>
  <c r="L101" i="1"/>
  <c r="M84" i="1"/>
  <c r="I61" i="1"/>
  <c r="I69" i="1"/>
  <c r="K54" i="2"/>
  <c r="K109" i="2"/>
  <c r="L91" i="1"/>
  <c r="K93" i="2"/>
  <c r="M17" i="1"/>
  <c r="L58" i="1"/>
  <c r="K6" i="2"/>
  <c r="J57" i="2" l="1"/>
  <c r="K104" i="1" s="1"/>
  <c r="I50" i="1"/>
  <c r="I53" i="1" s="1"/>
  <c r="W22" i="3"/>
  <c r="V22" i="3"/>
  <c r="U22" i="3"/>
  <c r="Q24" i="3"/>
  <c r="I24" i="3"/>
  <c r="J103" i="2"/>
  <c r="J105" i="2" s="1"/>
  <c r="K39" i="1" s="1"/>
  <c r="G16" i="5"/>
  <c r="J97" i="2"/>
  <c r="K53" i="2"/>
  <c r="K5" i="2"/>
  <c r="K108" i="2"/>
  <c r="K92" i="2"/>
  <c r="L90" i="1"/>
  <c r="L57" i="1"/>
  <c r="M16" i="1"/>
  <c r="J72" i="2"/>
  <c r="K105" i="1" s="1"/>
  <c r="K70" i="2"/>
  <c r="K100" i="1"/>
  <c r="F17" i="5"/>
  <c r="F78" i="5"/>
  <c r="I97" i="1"/>
  <c r="I72" i="1"/>
  <c r="I96" i="1"/>
  <c r="I67" i="1"/>
  <c r="J38" i="1"/>
  <c r="J50" i="1"/>
  <c r="J53" i="1" s="1"/>
  <c r="C78" i="2"/>
  <c r="D47" i="1"/>
  <c r="K9" i="2"/>
  <c r="J8" i="2"/>
  <c r="K20" i="1" s="1"/>
  <c r="K19" i="1" s="1"/>
  <c r="K22" i="1"/>
  <c r="K21" i="1" s="1"/>
  <c r="O22" i="3"/>
  <c r="M22" i="3"/>
  <c r="N22" i="3"/>
  <c r="N106" i="1"/>
  <c r="O65" i="1"/>
  <c r="Q18" i="2"/>
  <c r="R45" i="1" s="1"/>
  <c r="N23" i="5" s="1"/>
  <c r="P18" i="2"/>
  <c r="Q45" i="1" s="1"/>
  <c r="M23" i="5" s="1"/>
  <c r="O18" i="2"/>
  <c r="P45" i="1" s="1"/>
  <c r="L23" i="5" s="1"/>
  <c r="N18" i="2"/>
  <c r="O45" i="1" s="1"/>
  <c r="K23" i="5" s="1"/>
  <c r="M18" i="2"/>
  <c r="N45" i="1" s="1"/>
  <c r="J23" i="5" s="1"/>
  <c r="L18" i="2"/>
  <c r="M45" i="1" s="1"/>
  <c r="I23" i="5" s="1"/>
  <c r="K18" i="2"/>
  <c r="L45" i="1" s="1"/>
  <c r="H23" i="5" s="1"/>
  <c r="J18" i="2"/>
  <c r="K45" i="1" s="1"/>
  <c r="G23" i="5" s="1"/>
  <c r="I18" i="2"/>
  <c r="J45" i="1" s="1"/>
  <c r="F23" i="5" s="1"/>
  <c r="H18" i="2"/>
  <c r="I45" i="1" s="1"/>
  <c r="M7" i="2"/>
  <c r="N24" i="1" s="1"/>
  <c r="N23" i="2"/>
  <c r="K37" i="1"/>
  <c r="K25" i="1"/>
  <c r="L54" i="2"/>
  <c r="L93" i="2"/>
  <c r="L109" i="2"/>
  <c r="L6" i="2"/>
  <c r="M58" i="1"/>
  <c r="M91" i="1"/>
  <c r="N17" i="1"/>
  <c r="J87" i="2"/>
  <c r="J117" i="2"/>
  <c r="K95" i="1"/>
  <c r="L51" i="1"/>
  <c r="K12" i="2"/>
  <c r="L31" i="1" s="1"/>
  <c r="L30" i="1" s="1"/>
  <c r="L38" i="2"/>
  <c r="L104" i="2"/>
  <c r="L48" i="2"/>
  <c r="K14" i="2"/>
  <c r="L35" i="1" s="1"/>
  <c r="L34" i="1" s="1"/>
  <c r="J61" i="1"/>
  <c r="J96" i="1" s="1"/>
  <c r="J69" i="1"/>
  <c r="N84" i="1"/>
  <c r="M101" i="1"/>
  <c r="M99" i="2"/>
  <c r="R24" i="3"/>
  <c r="J24" i="3"/>
  <c r="O24" i="3" s="1"/>
  <c r="K13" i="2"/>
  <c r="L33" i="1" s="1"/>
  <c r="L32" i="1" s="1"/>
  <c r="L43" i="2"/>
  <c r="I56" i="2"/>
  <c r="I57" i="2" s="1"/>
  <c r="J104" i="1" s="1"/>
  <c r="J108" i="1" s="1"/>
  <c r="F18" i="5" s="1"/>
  <c r="H57" i="2"/>
  <c r="I104" i="1" s="1"/>
  <c r="I108" i="1" s="1"/>
  <c r="E18" i="5" s="1"/>
  <c r="G78" i="2"/>
  <c r="G111" i="2"/>
  <c r="G113" i="2" s="1"/>
  <c r="H47" i="1"/>
  <c r="J67" i="2"/>
  <c r="K49" i="1" s="1"/>
  <c r="K94" i="1" s="1"/>
  <c r="S24" i="3"/>
  <c r="K24" i="3"/>
  <c r="M24" i="3" s="1"/>
  <c r="T24" i="3"/>
  <c r="L61" i="2"/>
  <c r="L75" i="1"/>
  <c r="L98" i="1" s="1"/>
  <c r="L59" i="1"/>
  <c r="L70" i="1"/>
  <c r="L74" i="1"/>
  <c r="L107" i="1" s="1"/>
  <c r="L28" i="1"/>
  <c r="L26" i="1"/>
  <c r="M23" i="1"/>
  <c r="L60" i="1"/>
  <c r="L66" i="1"/>
  <c r="K73" i="2" s="1"/>
  <c r="L64" i="1"/>
  <c r="L100" i="1" s="1"/>
  <c r="L71" i="1"/>
  <c r="L62" i="1"/>
  <c r="L63" i="1"/>
  <c r="K59" i="2" s="1"/>
  <c r="K65" i="2"/>
  <c r="K71" i="2" s="1"/>
  <c r="K108" i="1" l="1"/>
  <c r="G18" i="5" s="1"/>
  <c r="G19" i="5" s="1"/>
  <c r="J97" i="1"/>
  <c r="J72" i="1"/>
  <c r="J67" i="1"/>
  <c r="O106" i="1"/>
  <c r="P65" i="1"/>
  <c r="K61" i="1"/>
  <c r="K69" i="1"/>
  <c r="N24" i="3"/>
  <c r="M48" i="2"/>
  <c r="L14" i="2"/>
  <c r="M35" i="1" s="1"/>
  <c r="M34" i="1" s="1"/>
  <c r="M104" i="2"/>
  <c r="N7" i="2"/>
  <c r="O24" i="1" s="1"/>
  <c r="O23" i="2"/>
  <c r="E19" i="5"/>
  <c r="E79" i="5"/>
  <c r="G17" i="5"/>
  <c r="G78" i="5"/>
  <c r="K97" i="2"/>
  <c r="E23" i="5"/>
  <c r="C7" i="4"/>
  <c r="C8" i="4" s="1"/>
  <c r="K8" i="2"/>
  <c r="L20" i="1" s="1"/>
  <c r="L19" i="1" s="1"/>
  <c r="L9" i="2"/>
  <c r="L22" i="1"/>
  <c r="L21" i="1" s="1"/>
  <c r="L53" i="2"/>
  <c r="L92" i="2"/>
  <c r="L5" i="2"/>
  <c r="M90" i="1"/>
  <c r="M57" i="1"/>
  <c r="L108" i="2"/>
  <c r="N16" i="1"/>
  <c r="F19" i="5"/>
  <c r="F79" i="5"/>
  <c r="L13" i="2"/>
  <c r="M33" i="1" s="1"/>
  <c r="M32" i="1" s="1"/>
  <c r="M43" i="2"/>
  <c r="K87" i="2"/>
  <c r="L95" i="1"/>
  <c r="M51" i="1"/>
  <c r="K117" i="2"/>
  <c r="W24" i="3"/>
  <c r="U24" i="3"/>
  <c r="V24" i="3" s="1"/>
  <c r="M75" i="1"/>
  <c r="M98" i="1" s="1"/>
  <c r="M59" i="1"/>
  <c r="M74" i="1"/>
  <c r="M107" i="1" s="1"/>
  <c r="M70" i="1"/>
  <c r="N23" i="1"/>
  <c r="M28" i="1"/>
  <c r="M26" i="1"/>
  <c r="M66" i="1"/>
  <c r="L73" i="2" s="1"/>
  <c r="M62" i="1"/>
  <c r="M64" i="1"/>
  <c r="M100" i="1" s="1"/>
  <c r="M60" i="1"/>
  <c r="M71" i="1"/>
  <c r="M63" i="1"/>
  <c r="L59" i="2" s="1"/>
  <c r="L65" i="2"/>
  <c r="L71" i="2" s="1"/>
  <c r="H16" i="5"/>
  <c r="K103" i="2"/>
  <c r="K105" i="2" s="1"/>
  <c r="L39" i="1" s="1"/>
  <c r="O84" i="1"/>
  <c r="N101" i="1"/>
  <c r="L37" i="1"/>
  <c r="L25" i="1"/>
  <c r="L12" i="2"/>
  <c r="M31" i="1" s="1"/>
  <c r="M30" i="1" s="1"/>
  <c r="M38" i="2"/>
  <c r="K50" i="1"/>
  <c r="K53" i="1" s="1"/>
  <c r="K38" i="1"/>
  <c r="N99" i="2"/>
  <c r="L70" i="2"/>
  <c r="K72" i="2"/>
  <c r="L105" i="1" s="1"/>
  <c r="L56" i="2"/>
  <c r="M54" i="2"/>
  <c r="M93" i="2"/>
  <c r="M109" i="2"/>
  <c r="N91" i="1"/>
  <c r="M6" i="2"/>
  <c r="O17" i="1"/>
  <c r="N58" i="1"/>
  <c r="K58" i="2"/>
  <c r="K67" i="2" s="1"/>
  <c r="L49" i="1" s="1"/>
  <c r="L94" i="1" s="1"/>
  <c r="M61" i="2"/>
  <c r="H84" i="2"/>
  <c r="I73" i="1"/>
  <c r="G79" i="5" l="1"/>
  <c r="K57" i="2"/>
  <c r="L104" i="1" s="1"/>
  <c r="L108" i="1" s="1"/>
  <c r="H18" i="5" s="1"/>
  <c r="H79" i="5" s="1"/>
  <c r="L58" i="2"/>
  <c r="L67" i="2" s="1"/>
  <c r="M49" i="1" s="1"/>
  <c r="M94" i="1" s="1"/>
  <c r="L50" i="1"/>
  <c r="L53" i="1" s="1"/>
  <c r="L38" i="1"/>
  <c r="L8" i="2"/>
  <c r="M20" i="1" s="1"/>
  <c r="M19" i="1" s="1"/>
  <c r="M9" i="2"/>
  <c r="M22" i="1"/>
  <c r="M21" i="1" s="1"/>
  <c r="N48" i="2"/>
  <c r="M14" i="2"/>
  <c r="N35" i="1" s="1"/>
  <c r="N34" i="1" s="1"/>
  <c r="K72" i="1"/>
  <c r="K97" i="1"/>
  <c r="L61" i="1"/>
  <c r="L96" i="1" s="1"/>
  <c r="L69" i="1"/>
  <c r="K67" i="1"/>
  <c r="P106" i="1"/>
  <c r="Q65" i="1"/>
  <c r="I84" i="2"/>
  <c r="J73" i="1"/>
  <c r="N61" i="2"/>
  <c r="L103" i="2"/>
  <c r="L105" i="2" s="1"/>
  <c r="M39" i="1" s="1"/>
  <c r="I16" i="5"/>
  <c r="K96" i="1"/>
  <c r="L87" i="2"/>
  <c r="L117" i="2"/>
  <c r="M95" i="1"/>
  <c r="N51" i="1"/>
  <c r="M56" i="2"/>
  <c r="M37" i="1"/>
  <c r="M25" i="1"/>
  <c r="H96" i="2"/>
  <c r="I110" i="1"/>
  <c r="I76" i="1"/>
  <c r="I77" i="1" s="1"/>
  <c r="O99" i="2"/>
  <c r="O7" i="2"/>
  <c r="P24" i="1" s="1"/>
  <c r="P23" i="2"/>
  <c r="L97" i="2"/>
  <c r="M53" i="2"/>
  <c r="M92" i="2"/>
  <c r="M108" i="2"/>
  <c r="M5" i="2"/>
  <c r="N90" i="1"/>
  <c r="N57" i="1"/>
  <c r="O16" i="1"/>
  <c r="P84" i="1"/>
  <c r="O101" i="1"/>
  <c r="N75" i="1"/>
  <c r="N98" i="1" s="1"/>
  <c r="N59" i="1"/>
  <c r="N70" i="1"/>
  <c r="N26" i="1"/>
  <c r="N74" i="1"/>
  <c r="N107" i="1" s="1"/>
  <c r="O23" i="1"/>
  <c r="N28" i="1"/>
  <c r="N60" i="1"/>
  <c r="N66" i="1"/>
  <c r="M73" i="2" s="1"/>
  <c r="N62" i="1"/>
  <c r="N64" i="1"/>
  <c r="N71" i="1"/>
  <c r="M65" i="2"/>
  <c r="M71" i="2" s="1"/>
  <c r="N63" i="1"/>
  <c r="M59" i="2" s="1"/>
  <c r="M13" i="2"/>
  <c r="N33" i="1" s="1"/>
  <c r="N32" i="1" s="1"/>
  <c r="N43" i="2"/>
  <c r="H17" i="5"/>
  <c r="H78" i="5"/>
  <c r="N54" i="2"/>
  <c r="N109" i="2"/>
  <c r="N93" i="2"/>
  <c r="O58" i="1"/>
  <c r="N6" i="2"/>
  <c r="P17" i="1"/>
  <c r="O91" i="1"/>
  <c r="M12" i="2"/>
  <c r="N31" i="1" s="1"/>
  <c r="N30" i="1" s="1"/>
  <c r="N38" i="2"/>
  <c r="M70" i="2"/>
  <c r="L72" i="2"/>
  <c r="M105" i="1" s="1"/>
  <c r="N104" i="2"/>
  <c r="L57" i="2" l="1"/>
  <c r="M104" i="1" s="1"/>
  <c r="M108" i="1" s="1"/>
  <c r="I18" i="5" s="1"/>
  <c r="H19" i="5"/>
  <c r="M58" i="2"/>
  <c r="M67" i="2" s="1"/>
  <c r="N49" i="1" s="1"/>
  <c r="N94" i="1" s="1"/>
  <c r="O104" i="2"/>
  <c r="N56" i="2"/>
  <c r="L72" i="1"/>
  <c r="L97" i="1"/>
  <c r="M103" i="2"/>
  <c r="M105" i="2" s="1"/>
  <c r="N39" i="1" s="1"/>
  <c r="J16" i="5"/>
  <c r="O54" i="2"/>
  <c r="O93" i="2"/>
  <c r="O109" i="2"/>
  <c r="O6" i="2"/>
  <c r="Q17" i="1"/>
  <c r="P91" i="1"/>
  <c r="P58" i="1"/>
  <c r="N53" i="2"/>
  <c r="N108" i="2"/>
  <c r="N5" i="2"/>
  <c r="O90" i="1"/>
  <c r="N92" i="2"/>
  <c r="O57" i="1"/>
  <c r="P16" i="1"/>
  <c r="I96" i="2"/>
  <c r="J76" i="1"/>
  <c r="J77" i="1" s="1"/>
  <c r="J110" i="1"/>
  <c r="O48" i="2"/>
  <c r="N14" i="2"/>
  <c r="O35" i="1" s="1"/>
  <c r="O34" i="1" s="1"/>
  <c r="M61" i="1"/>
  <c r="M69" i="1"/>
  <c r="M8" i="2"/>
  <c r="N20" i="1" s="1"/>
  <c r="N19" i="1" s="1"/>
  <c r="N9" i="2"/>
  <c r="N22" i="1"/>
  <c r="N21" i="1" s="1"/>
  <c r="N13" i="2"/>
  <c r="O33" i="1" s="1"/>
  <c r="O32" i="1" s="1"/>
  <c r="O43" i="2"/>
  <c r="J84" i="2"/>
  <c r="K73" i="1"/>
  <c r="I17" i="5"/>
  <c r="I78" i="5"/>
  <c r="P7" i="2"/>
  <c r="Q24" i="1" s="1"/>
  <c r="Q23" i="2"/>
  <c r="Q7" i="2" s="1"/>
  <c r="R24" i="1" s="1"/>
  <c r="P101" i="1"/>
  <c r="Q84" i="1"/>
  <c r="H98" i="2"/>
  <c r="H100" i="2"/>
  <c r="I40" i="1" s="1"/>
  <c r="M50" i="1"/>
  <c r="M53" i="1" s="1"/>
  <c r="M38" i="1"/>
  <c r="Q106" i="1"/>
  <c r="R65" i="1"/>
  <c r="R106" i="1" s="1"/>
  <c r="P99" i="2"/>
  <c r="O61" i="2"/>
  <c r="M97" i="2"/>
  <c r="O38" i="2"/>
  <c r="N12" i="2"/>
  <c r="O31" i="1" s="1"/>
  <c r="O30" i="1" s="1"/>
  <c r="L67" i="1"/>
  <c r="N70" i="2"/>
  <c r="M72" i="2"/>
  <c r="N105" i="1" s="1"/>
  <c r="O75" i="1"/>
  <c r="O98" i="1" s="1"/>
  <c r="O59" i="1"/>
  <c r="O74" i="1"/>
  <c r="O26" i="1"/>
  <c r="P23" i="1"/>
  <c r="O28" i="1"/>
  <c r="O70" i="1"/>
  <c r="O66" i="1"/>
  <c r="N73" i="2" s="1"/>
  <c r="O71" i="1"/>
  <c r="O64" i="1"/>
  <c r="O100" i="1" s="1"/>
  <c r="O60" i="1"/>
  <c r="O62" i="1"/>
  <c r="N65" i="2"/>
  <c r="N71" i="2" s="1"/>
  <c r="O63" i="1"/>
  <c r="N59" i="2" s="1"/>
  <c r="N100" i="1"/>
  <c r="N37" i="1"/>
  <c r="N25" i="1"/>
  <c r="M117" i="2"/>
  <c r="M87" i="2"/>
  <c r="N95" i="1"/>
  <c r="O51" i="1"/>
  <c r="M57" i="2" l="1"/>
  <c r="N104" i="1" s="1"/>
  <c r="N108" i="1" s="1"/>
  <c r="J18" i="5" s="1"/>
  <c r="N58" i="2"/>
  <c r="N67" i="2" s="1"/>
  <c r="O49" i="1" s="1"/>
  <c r="O94" i="1" s="1"/>
  <c r="P93" i="2"/>
  <c r="P109" i="2"/>
  <c r="P54" i="2"/>
  <c r="P6" i="2"/>
  <c r="Q58" i="1"/>
  <c r="R17" i="1"/>
  <c r="Q91" i="1"/>
  <c r="Q99" i="2"/>
  <c r="N69" i="1"/>
  <c r="N61" i="1"/>
  <c r="N96" i="1" s="1"/>
  <c r="N50" i="1"/>
  <c r="N53" i="1" s="1"/>
  <c r="N38" i="1"/>
  <c r="I98" i="2"/>
  <c r="P48" i="2"/>
  <c r="O14" i="2"/>
  <c r="P35" i="1" s="1"/>
  <c r="P34" i="1" s="1"/>
  <c r="O56" i="2"/>
  <c r="N103" i="2"/>
  <c r="N105" i="2" s="1"/>
  <c r="O39" i="1" s="1"/>
  <c r="K16" i="5"/>
  <c r="M67" i="1"/>
  <c r="O37" i="1"/>
  <c r="O25" i="1"/>
  <c r="O13" i="2"/>
  <c r="P33" i="1" s="1"/>
  <c r="P32" i="1" s="1"/>
  <c r="P43" i="2"/>
  <c r="O53" i="2"/>
  <c r="O92" i="2"/>
  <c r="O5" i="2"/>
  <c r="P90" i="1"/>
  <c r="P57" i="1"/>
  <c r="Q16" i="1"/>
  <c r="O108" i="2"/>
  <c r="K84" i="2"/>
  <c r="L73" i="1"/>
  <c r="N8" i="2"/>
  <c r="O20" i="1" s="1"/>
  <c r="O19" i="1" s="1"/>
  <c r="O9" i="2"/>
  <c r="O22" i="1"/>
  <c r="O21" i="1" s="1"/>
  <c r="M96" i="1"/>
  <c r="N97" i="2"/>
  <c r="J96" i="2"/>
  <c r="J100" i="2" s="1"/>
  <c r="K40" i="1" s="1"/>
  <c r="K76" i="1"/>
  <c r="K77" i="1" s="1"/>
  <c r="K110" i="1"/>
  <c r="I79" i="5"/>
  <c r="I19" i="5"/>
  <c r="E47" i="5"/>
  <c r="E20" i="5"/>
  <c r="I43" i="1"/>
  <c r="R84" i="1"/>
  <c r="R101" i="1" s="1"/>
  <c r="Q101" i="1"/>
  <c r="P104" i="2"/>
  <c r="P61" i="2"/>
  <c r="J17" i="5"/>
  <c r="J78" i="5"/>
  <c r="I100" i="2"/>
  <c r="J40" i="1" s="1"/>
  <c r="O70" i="2"/>
  <c r="N72" i="2"/>
  <c r="O105" i="1" s="1"/>
  <c r="E80" i="5"/>
  <c r="E48" i="5"/>
  <c r="P38" i="2"/>
  <c r="O12" i="2"/>
  <c r="P31" i="1" s="1"/>
  <c r="P30" i="1" s="1"/>
  <c r="N117" i="2"/>
  <c r="N87" i="2"/>
  <c r="O95" i="1"/>
  <c r="P51" i="1"/>
  <c r="P75" i="1"/>
  <c r="P98" i="1" s="1"/>
  <c r="P59" i="1"/>
  <c r="P70" i="1"/>
  <c r="P26" i="1"/>
  <c r="P74" i="1"/>
  <c r="P107" i="1" s="1"/>
  <c r="P28" i="1"/>
  <c r="Q23" i="1"/>
  <c r="P64" i="1"/>
  <c r="P100" i="1" s="1"/>
  <c r="P71" i="1"/>
  <c r="P66" i="1"/>
  <c r="O73" i="2" s="1"/>
  <c r="P62" i="1"/>
  <c r="P60" i="1"/>
  <c r="P63" i="1"/>
  <c r="O59" i="2" s="1"/>
  <c r="O65" i="2"/>
  <c r="O71" i="2" s="1"/>
  <c r="O107" i="1"/>
  <c r="M72" i="1"/>
  <c r="M97" i="1"/>
  <c r="N57" i="2" l="1"/>
  <c r="O104" i="1" s="1"/>
  <c r="O108" i="1" s="1"/>
  <c r="K18" i="5" s="1"/>
  <c r="O58" i="2"/>
  <c r="O57" i="2" s="1"/>
  <c r="P104" i="1" s="1"/>
  <c r="O50" i="1"/>
  <c r="O53" i="1" s="1"/>
  <c r="O38" i="1"/>
  <c r="O117" i="2"/>
  <c r="O87" i="2"/>
  <c r="Q51" i="1"/>
  <c r="P95" i="1"/>
  <c r="P70" i="2"/>
  <c r="O72" i="2"/>
  <c r="P105" i="1" s="1"/>
  <c r="G47" i="5"/>
  <c r="G20" i="5"/>
  <c r="K43" i="1"/>
  <c r="I44" i="1"/>
  <c r="I46" i="1" s="1"/>
  <c r="O69" i="1"/>
  <c r="O61" i="1"/>
  <c r="O96" i="1" s="1"/>
  <c r="E21" i="5"/>
  <c r="E22" i="5"/>
  <c r="N72" i="1"/>
  <c r="N97" i="1"/>
  <c r="L84" i="2"/>
  <c r="M73" i="1"/>
  <c r="E49" i="5"/>
  <c r="E50" i="5" s="1"/>
  <c r="P92" i="2"/>
  <c r="P108" i="2"/>
  <c r="P53" i="2"/>
  <c r="P5" i="2"/>
  <c r="Q90" i="1"/>
  <c r="Q57" i="1"/>
  <c r="R16" i="1"/>
  <c r="F80" i="5"/>
  <c r="F48" i="5"/>
  <c r="Q93" i="2"/>
  <c r="Q109" i="2"/>
  <c r="Q54" i="2"/>
  <c r="Q6" i="2"/>
  <c r="R91" i="1"/>
  <c r="R58" i="1"/>
  <c r="Q104" i="2"/>
  <c r="J19" i="5"/>
  <c r="J79" i="5"/>
  <c r="F47" i="5"/>
  <c r="F20" i="5"/>
  <c r="J43" i="1"/>
  <c r="O8" i="2"/>
  <c r="P20" i="1" s="1"/>
  <c r="P19" i="1" s="1"/>
  <c r="P9" i="2"/>
  <c r="P22" i="1"/>
  <c r="P21" i="1" s="1"/>
  <c r="P37" i="1"/>
  <c r="P25" i="1"/>
  <c r="K96" i="2"/>
  <c r="K100" i="2" s="1"/>
  <c r="L40" i="1" s="1"/>
  <c r="L76" i="1"/>
  <c r="L77" i="1" s="1"/>
  <c r="L110" i="1"/>
  <c r="Q75" i="1"/>
  <c r="Q98" i="1" s="1"/>
  <c r="Q59" i="1"/>
  <c r="Q70" i="1"/>
  <c r="Q74" i="1"/>
  <c r="Q26" i="1"/>
  <c r="Q28" i="1"/>
  <c r="R23" i="1"/>
  <c r="Q66" i="1"/>
  <c r="P73" i="2" s="1"/>
  <c r="Q62" i="1"/>
  <c r="Q71" i="1"/>
  <c r="Q60" i="1"/>
  <c r="Q64" i="1"/>
  <c r="Q63" i="1"/>
  <c r="P59" i="2" s="1"/>
  <c r="P65" i="2"/>
  <c r="P71" i="2" s="1"/>
  <c r="N67" i="1"/>
  <c r="K17" i="5"/>
  <c r="K78" i="5"/>
  <c r="P13" i="2"/>
  <c r="Q33" i="1" s="1"/>
  <c r="Q32" i="1" s="1"/>
  <c r="Q43" i="2"/>
  <c r="Q13" i="2" s="1"/>
  <c r="R33" i="1" s="1"/>
  <c r="Q38" i="2"/>
  <c r="Q12" i="2" s="1"/>
  <c r="R31" i="1" s="1"/>
  <c r="P12" i="2"/>
  <c r="Q31" i="1" s="1"/>
  <c r="Q30" i="1" s="1"/>
  <c r="O97" i="2"/>
  <c r="J98" i="2"/>
  <c r="P56" i="2"/>
  <c r="O103" i="2"/>
  <c r="O105" i="2" s="1"/>
  <c r="P39" i="1" s="1"/>
  <c r="L16" i="5"/>
  <c r="Q61" i="2"/>
  <c r="Q48" i="2"/>
  <c r="Q14" i="2" s="1"/>
  <c r="R35" i="1" s="1"/>
  <c r="P14" i="2"/>
  <c r="Q35" i="1" s="1"/>
  <c r="Q34" i="1" s="1"/>
  <c r="O67" i="2" l="1"/>
  <c r="P49" i="1" s="1"/>
  <c r="F49" i="5"/>
  <c r="F50" i="5" s="1"/>
  <c r="P108" i="1"/>
  <c r="L18" i="5" s="1"/>
  <c r="L79" i="5" s="1"/>
  <c r="Q92" i="2"/>
  <c r="Q108" i="2"/>
  <c r="Q53" i="2"/>
  <c r="Q5" i="2"/>
  <c r="R90" i="1"/>
  <c r="R57" i="1"/>
  <c r="N73" i="1"/>
  <c r="M84" i="2"/>
  <c r="F21" i="5"/>
  <c r="F22" i="5"/>
  <c r="H78" i="2"/>
  <c r="H81" i="2" s="1"/>
  <c r="H111" i="2"/>
  <c r="I47" i="1"/>
  <c r="I93" i="1"/>
  <c r="I102" i="1" s="1"/>
  <c r="P103" i="2"/>
  <c r="P105" i="2" s="1"/>
  <c r="Q39" i="1" s="1"/>
  <c r="M16" i="5"/>
  <c r="G80" i="5"/>
  <c r="G48" i="5"/>
  <c r="G49" i="5" s="1"/>
  <c r="G50" i="5" s="1"/>
  <c r="L96" i="2"/>
  <c r="L100" i="2" s="1"/>
  <c r="M40" i="1" s="1"/>
  <c r="M76" i="1"/>
  <c r="M77" i="1" s="1"/>
  <c r="M110" i="1"/>
  <c r="J44" i="1"/>
  <c r="J46" i="1" s="1"/>
  <c r="O67" i="1"/>
  <c r="O72" i="1"/>
  <c r="O97" i="1"/>
  <c r="H47" i="5"/>
  <c r="H20" i="5"/>
  <c r="L43" i="1"/>
  <c r="Q70" i="2"/>
  <c r="P72" i="2"/>
  <c r="Q105" i="1" s="1"/>
  <c r="K98" i="2"/>
  <c r="Q56" i="2"/>
  <c r="P117" i="2"/>
  <c r="P87" i="2"/>
  <c r="R51" i="1"/>
  <c r="Q95" i="1"/>
  <c r="P97" i="2"/>
  <c r="K44" i="1"/>
  <c r="K46" i="1" s="1"/>
  <c r="P69" i="1"/>
  <c r="P61" i="1"/>
  <c r="P96" i="1" s="1"/>
  <c r="G21" i="5"/>
  <c r="G22" i="5"/>
  <c r="P38" i="1"/>
  <c r="Q100" i="1"/>
  <c r="P58" i="2"/>
  <c r="P67" i="2" s="1"/>
  <c r="Q49" i="1" s="1"/>
  <c r="Q94" i="1" s="1"/>
  <c r="R30" i="1"/>
  <c r="R70" i="1"/>
  <c r="R26" i="1"/>
  <c r="R59" i="1"/>
  <c r="R34" i="1"/>
  <c r="R74" i="1"/>
  <c r="Q97" i="2" s="1"/>
  <c r="R28" i="1"/>
  <c r="R32" i="1"/>
  <c r="R75" i="1"/>
  <c r="R98" i="1" s="1"/>
  <c r="R66" i="1"/>
  <c r="Q73" i="2" s="1"/>
  <c r="R62" i="1"/>
  <c r="R71" i="1"/>
  <c r="R60" i="1"/>
  <c r="R64" i="1"/>
  <c r="R100" i="1" s="1"/>
  <c r="Q65" i="2"/>
  <c r="Q71" i="2" s="1"/>
  <c r="R63" i="1"/>
  <c r="Q59" i="2" s="1"/>
  <c r="Q107" i="1"/>
  <c r="Q37" i="1"/>
  <c r="Q25" i="1"/>
  <c r="P8" i="2"/>
  <c r="Q20" i="1" s="1"/>
  <c r="Q19" i="1" s="1"/>
  <c r="Q9" i="2"/>
  <c r="Q22" i="1"/>
  <c r="Q21" i="1" s="1"/>
  <c r="L78" i="5"/>
  <c r="L17" i="5"/>
  <c r="K79" i="5"/>
  <c r="K19" i="5"/>
  <c r="P94" i="1" l="1"/>
  <c r="P50" i="1"/>
  <c r="P53" i="1" s="1"/>
  <c r="L19" i="5"/>
  <c r="I78" i="2"/>
  <c r="I111" i="2"/>
  <c r="J47" i="1"/>
  <c r="J93" i="1"/>
  <c r="J102" i="1" s="1"/>
  <c r="J78" i="2"/>
  <c r="J111" i="2"/>
  <c r="K47" i="1"/>
  <c r="K93" i="1"/>
  <c r="K102" i="1" s="1"/>
  <c r="E14" i="5"/>
  <c r="N84" i="2"/>
  <c r="O73" i="1"/>
  <c r="Q69" i="1"/>
  <c r="Q61" i="1"/>
  <c r="Q96" i="1" s="1"/>
  <c r="H80" i="5"/>
  <c r="H48" i="5"/>
  <c r="H49" i="5" s="1"/>
  <c r="H50" i="5" s="1"/>
  <c r="Q50" i="1"/>
  <c r="Q53" i="1" s="1"/>
  <c r="Q38" i="1"/>
  <c r="Q117" i="2"/>
  <c r="Q87" i="2"/>
  <c r="R95" i="1"/>
  <c r="Q72" i="2"/>
  <c r="R105" i="1" s="1"/>
  <c r="I47" i="5"/>
  <c r="I20" i="5"/>
  <c r="M43" i="1"/>
  <c r="P67" i="1"/>
  <c r="P97" i="1"/>
  <c r="P72" i="1"/>
  <c r="Q103" i="2"/>
  <c r="Q105" i="2" s="1"/>
  <c r="R39" i="1" s="1"/>
  <c r="N16" i="5"/>
  <c r="R107" i="1"/>
  <c r="L44" i="1"/>
  <c r="L46" i="1" s="1"/>
  <c r="I77" i="2"/>
  <c r="I83" i="1"/>
  <c r="H85" i="2" s="1"/>
  <c r="H88" i="2" s="1"/>
  <c r="Q8" i="2"/>
  <c r="R20" i="1" s="1"/>
  <c r="R19" i="1" s="1"/>
  <c r="R22" i="1"/>
  <c r="R21" i="1" s="1"/>
  <c r="P57" i="2"/>
  <c r="Q104" i="1" s="1"/>
  <c r="Q108" i="1" s="1"/>
  <c r="M18" i="5" s="1"/>
  <c r="M96" i="2"/>
  <c r="M100" i="2" s="1"/>
  <c r="N40" i="1" s="1"/>
  <c r="N76" i="1"/>
  <c r="N77" i="1" s="1"/>
  <c r="N110" i="1"/>
  <c r="L98" i="2"/>
  <c r="Q58" i="2"/>
  <c r="Q67" i="2" s="1"/>
  <c r="R49" i="1" s="1"/>
  <c r="R94" i="1" s="1"/>
  <c r="R37" i="1"/>
  <c r="R25" i="1"/>
  <c r="H21" i="5"/>
  <c r="H22" i="5"/>
  <c r="M78" i="5"/>
  <c r="M17" i="5"/>
  <c r="I81" i="2" l="1"/>
  <c r="J83" i="1" s="1"/>
  <c r="I85" i="2" s="1"/>
  <c r="Q57" i="2"/>
  <c r="R104" i="1" s="1"/>
  <c r="R108" i="1" s="1"/>
  <c r="N18" i="5" s="1"/>
  <c r="K78" i="2"/>
  <c r="K111" i="2"/>
  <c r="L47" i="1"/>
  <c r="L93" i="1"/>
  <c r="L102" i="1" s="1"/>
  <c r="H116" i="2"/>
  <c r="I111" i="1"/>
  <c r="I112" i="1" s="1"/>
  <c r="I114" i="1" s="1"/>
  <c r="I121" i="1" s="1"/>
  <c r="H89" i="2"/>
  <c r="I82" i="1" s="1"/>
  <c r="E77" i="5"/>
  <c r="E83" i="5" s="1"/>
  <c r="E88" i="5" s="1"/>
  <c r="E89" i="5" s="1"/>
  <c r="E15" i="5"/>
  <c r="E24" i="5"/>
  <c r="E29" i="5" s="1"/>
  <c r="R50" i="1"/>
  <c r="R53" i="1" s="1"/>
  <c r="R38" i="1"/>
  <c r="F14" i="5"/>
  <c r="R69" i="1"/>
  <c r="R61" i="1"/>
  <c r="R67" i="1" s="1"/>
  <c r="J47" i="5"/>
  <c r="J20" i="5"/>
  <c r="N43" i="1"/>
  <c r="M79" i="5"/>
  <c r="M19" i="5"/>
  <c r="Q72" i="1"/>
  <c r="Q97" i="1"/>
  <c r="N78" i="5"/>
  <c r="N17" i="5"/>
  <c r="I80" i="5"/>
  <c r="I48" i="5"/>
  <c r="I49" i="5" s="1"/>
  <c r="I50" i="5" s="1"/>
  <c r="M98" i="2"/>
  <c r="Q67" i="1"/>
  <c r="N96" i="2"/>
  <c r="O76" i="1"/>
  <c r="O77" i="1" s="1"/>
  <c r="O110" i="1"/>
  <c r="G14" i="5"/>
  <c r="O84" i="2"/>
  <c r="P73" i="1"/>
  <c r="M44" i="1"/>
  <c r="M46" i="1" s="1"/>
  <c r="I21" i="5"/>
  <c r="I22" i="5"/>
  <c r="J77" i="2" l="1"/>
  <c r="J81" i="2" s="1"/>
  <c r="G77" i="5"/>
  <c r="G83" i="5" s="1"/>
  <c r="G88" i="5" s="1"/>
  <c r="G89" i="5" s="1"/>
  <c r="G15" i="5"/>
  <c r="G24" i="5"/>
  <c r="G29" i="5" s="1"/>
  <c r="N98" i="2"/>
  <c r="R97" i="1"/>
  <c r="R72" i="1"/>
  <c r="N79" i="5"/>
  <c r="N19" i="5"/>
  <c r="I85" i="1"/>
  <c r="I87" i="1" s="1"/>
  <c r="I86" i="2"/>
  <c r="R73" i="1"/>
  <c r="Q84" i="2"/>
  <c r="N44" i="1"/>
  <c r="N46" i="1" s="1"/>
  <c r="J21" i="5"/>
  <c r="J22" i="5"/>
  <c r="H122" i="2"/>
  <c r="H123" i="2" s="1"/>
  <c r="H112" i="2"/>
  <c r="Q73" i="1"/>
  <c r="P84" i="2"/>
  <c r="L78" i="2"/>
  <c r="L111" i="2"/>
  <c r="M93" i="1"/>
  <c r="M102" i="1" s="1"/>
  <c r="M47" i="1"/>
  <c r="R96" i="1"/>
  <c r="N100" i="2"/>
  <c r="O40" i="1" s="1"/>
  <c r="O96" i="2"/>
  <c r="P76" i="1"/>
  <c r="P77" i="1" s="1"/>
  <c r="P110" i="1"/>
  <c r="J48" i="5"/>
  <c r="J49" i="5" s="1"/>
  <c r="J50" i="5" s="1"/>
  <c r="J80" i="5"/>
  <c r="F77" i="5"/>
  <c r="F83" i="5" s="1"/>
  <c r="F88" i="5" s="1"/>
  <c r="F89" i="5" s="1"/>
  <c r="F24" i="5"/>
  <c r="F29" i="5" s="1"/>
  <c r="F15" i="5"/>
  <c r="H14" i="5"/>
  <c r="K77" i="2" l="1"/>
  <c r="K81" i="2" s="1"/>
  <c r="K83" i="1"/>
  <c r="J85" i="2" s="1"/>
  <c r="K20" i="5"/>
  <c r="K47" i="5"/>
  <c r="O43" i="1"/>
  <c r="P96" i="2"/>
  <c r="Q76" i="1"/>
  <c r="Q77" i="1" s="1"/>
  <c r="Q110" i="1"/>
  <c r="I121" i="2"/>
  <c r="H124" i="2"/>
  <c r="O98" i="2"/>
  <c r="K48" i="5"/>
  <c r="K80" i="5"/>
  <c r="I14" i="5"/>
  <c r="H77" i="5"/>
  <c r="H83" i="5" s="1"/>
  <c r="H88" i="5" s="1"/>
  <c r="H89" i="5" s="1"/>
  <c r="H15" i="5"/>
  <c r="H24" i="5"/>
  <c r="H29" i="5" s="1"/>
  <c r="M78" i="2"/>
  <c r="M111" i="2"/>
  <c r="N93" i="1"/>
  <c r="N102" i="1" s="1"/>
  <c r="N47" i="1"/>
  <c r="H113" i="2"/>
  <c r="O100" i="2"/>
  <c r="P40" i="1" s="1"/>
  <c r="Q96" i="2"/>
  <c r="Q98" i="2" s="1"/>
  <c r="R76" i="1"/>
  <c r="R77" i="1" s="1"/>
  <c r="R110" i="1"/>
  <c r="I88" i="2"/>
  <c r="I89" i="2" s="1"/>
  <c r="J82" i="1" s="1"/>
  <c r="L77" i="2" l="1"/>
  <c r="L81" i="2" s="1"/>
  <c r="L83" i="1"/>
  <c r="K85" i="2" s="1"/>
  <c r="K49" i="5"/>
  <c r="K50" i="5" s="1"/>
  <c r="J86" i="2"/>
  <c r="J85" i="1"/>
  <c r="J87" i="1" s="1"/>
  <c r="J14" i="5"/>
  <c r="K21" i="5"/>
  <c r="K22" i="5"/>
  <c r="L48" i="5"/>
  <c r="L80" i="5"/>
  <c r="I116" i="2"/>
  <c r="J111" i="1"/>
  <c r="J112" i="1" s="1"/>
  <c r="J114" i="1" s="1"/>
  <c r="P98" i="2"/>
  <c r="N48" i="5" s="1"/>
  <c r="Q100" i="2"/>
  <c r="R40" i="1" s="1"/>
  <c r="I77" i="5"/>
  <c r="I83" i="5" s="1"/>
  <c r="I88" i="5" s="1"/>
  <c r="I89" i="5" s="1"/>
  <c r="I15" i="5"/>
  <c r="I24" i="5"/>
  <c r="I29" i="5" s="1"/>
  <c r="O44" i="1"/>
  <c r="O46" i="1" s="1"/>
  <c r="L20" i="5"/>
  <c r="L47" i="5"/>
  <c r="P43" i="1"/>
  <c r="P100" i="2"/>
  <c r="Q40" i="1" s="1"/>
  <c r="M77" i="2" l="1"/>
  <c r="M81" i="2" s="1"/>
  <c r="M83" i="1"/>
  <c r="L85" i="2" s="1"/>
  <c r="N111" i="2"/>
  <c r="O93" i="1"/>
  <c r="O102" i="1" s="1"/>
  <c r="N78" i="2"/>
  <c r="O47" i="1"/>
  <c r="N47" i="5"/>
  <c r="N49" i="5" s="1"/>
  <c r="N20" i="5"/>
  <c r="R43" i="1"/>
  <c r="J118" i="1"/>
  <c r="M48" i="5"/>
  <c r="M80" i="5"/>
  <c r="L21" i="5"/>
  <c r="L22" i="5"/>
  <c r="J77" i="5"/>
  <c r="J83" i="5" s="1"/>
  <c r="J88" i="5" s="1"/>
  <c r="J89" i="5" s="1"/>
  <c r="J15" i="5"/>
  <c r="J24" i="5"/>
  <c r="J29" i="5" s="1"/>
  <c r="I122" i="2"/>
  <c r="I123" i="2" s="1"/>
  <c r="I112" i="2"/>
  <c r="M20" i="5"/>
  <c r="M47" i="5"/>
  <c r="Q43" i="1"/>
  <c r="P44" i="1"/>
  <c r="P46" i="1" s="1"/>
  <c r="L49" i="5"/>
  <c r="L50" i="5" s="1"/>
  <c r="N80" i="5"/>
  <c r="J88" i="2"/>
  <c r="J89" i="2" s="1"/>
  <c r="K82" i="1" s="1"/>
  <c r="N77" i="2" l="1"/>
  <c r="N83" i="1"/>
  <c r="M85" i="2" s="1"/>
  <c r="N81" i="2"/>
  <c r="O77" i="2" s="1"/>
  <c r="K86" i="2"/>
  <c r="K85" i="1"/>
  <c r="K87" i="1" s="1"/>
  <c r="O111" i="2"/>
  <c r="P93" i="1"/>
  <c r="P102" i="1" s="1"/>
  <c r="O78" i="2"/>
  <c r="P47" i="1"/>
  <c r="Q44" i="1"/>
  <c r="Q46" i="1" s="1"/>
  <c r="N21" i="5"/>
  <c r="N22" i="5"/>
  <c r="C51" i="5"/>
  <c r="C52" i="5" s="1"/>
  <c r="C53" i="5" s="1"/>
  <c r="N50" i="5"/>
  <c r="J119" i="1"/>
  <c r="J121" i="1" s="1"/>
  <c r="K117" i="1"/>
  <c r="R44" i="1"/>
  <c r="R46" i="1" s="1"/>
  <c r="I113" i="2"/>
  <c r="K14" i="5"/>
  <c r="J116" i="2"/>
  <c r="J122" i="2" s="1"/>
  <c r="K111" i="1"/>
  <c r="K112" i="1" s="1"/>
  <c r="K114" i="1" s="1"/>
  <c r="M49" i="5"/>
  <c r="M50" i="5" s="1"/>
  <c r="C54" i="5" s="1"/>
  <c r="M21" i="5"/>
  <c r="M22" i="5"/>
  <c r="J121" i="2"/>
  <c r="I124" i="2"/>
  <c r="J123" i="2" l="1"/>
  <c r="K121" i="2" s="1"/>
  <c r="O81" i="2"/>
  <c r="O83" i="1"/>
  <c r="N85" i="2" s="1"/>
  <c r="C55" i="5"/>
  <c r="C60" i="5" s="1"/>
  <c r="K118" i="1"/>
  <c r="K15" i="5"/>
  <c r="K24" i="5"/>
  <c r="K29" i="5" s="1"/>
  <c r="K77" i="5"/>
  <c r="K83" i="5" s="1"/>
  <c r="K88" i="5" s="1"/>
  <c r="K89" i="5" s="1"/>
  <c r="L14" i="5"/>
  <c r="J112" i="2"/>
  <c r="P111" i="2"/>
  <c r="Q93" i="1"/>
  <c r="Q102" i="1" s="1"/>
  <c r="Q47" i="1"/>
  <c r="P78" i="2"/>
  <c r="Q78" i="2"/>
  <c r="R93" i="1"/>
  <c r="R102" i="1" s="1"/>
  <c r="Q111" i="2"/>
  <c r="R47" i="1"/>
  <c r="K88" i="2"/>
  <c r="K89" i="2" s="1"/>
  <c r="L82" i="1" s="1"/>
  <c r="P83" i="1" l="1"/>
  <c r="O85" i="2" s="1"/>
  <c r="P77" i="2"/>
  <c r="P81" i="2" s="1"/>
  <c r="Q83" i="1" s="1"/>
  <c r="P85" i="2" s="1"/>
  <c r="J124" i="2"/>
  <c r="C19" i="4"/>
  <c r="M14" i="5"/>
  <c r="L15" i="5"/>
  <c r="L24" i="5"/>
  <c r="L29" i="5" s="1"/>
  <c r="L77" i="5"/>
  <c r="L83" i="5" s="1"/>
  <c r="L88" i="5" s="1"/>
  <c r="L89" i="5" s="1"/>
  <c r="L117" i="1"/>
  <c r="K119" i="1"/>
  <c r="K121" i="1" s="1"/>
  <c r="J113" i="2"/>
  <c r="L85" i="1"/>
  <c r="L87" i="1" s="1"/>
  <c r="L86" i="2"/>
  <c r="K116" i="2"/>
  <c r="K122" i="2" s="1"/>
  <c r="K123" i="2" s="1"/>
  <c r="L111" i="1"/>
  <c r="L112" i="1" s="1"/>
  <c r="L114" i="1" s="1"/>
  <c r="N14" i="5"/>
  <c r="Q77" i="2" l="1"/>
  <c r="Q81" i="2" s="1"/>
  <c r="R83" i="1" s="1"/>
  <c r="Q85" i="2" s="1"/>
  <c r="K112" i="2"/>
  <c r="K113" i="2" s="1"/>
  <c r="K124" i="2"/>
  <c r="L121" i="2"/>
  <c r="M15" i="5"/>
  <c r="M24" i="5"/>
  <c r="M29" i="5" s="1"/>
  <c r="M77" i="5"/>
  <c r="M83" i="5" s="1"/>
  <c r="M88" i="5" s="1"/>
  <c r="M89" i="5" s="1"/>
  <c r="N15" i="5"/>
  <c r="N24" i="5"/>
  <c r="N77" i="5"/>
  <c r="N83" i="5" s="1"/>
  <c r="L118" i="1"/>
  <c r="L88" i="2"/>
  <c r="L89" i="2" s="1"/>
  <c r="M82" i="1" s="1"/>
  <c r="M117" i="1" l="1"/>
  <c r="L119" i="1"/>
  <c r="L121" i="1" s="1"/>
  <c r="M85" i="1"/>
  <c r="M87" i="1" s="1"/>
  <c r="M86" i="2"/>
  <c r="N88" i="5"/>
  <c r="N89" i="5" s="1"/>
  <c r="C96" i="5" s="1"/>
  <c r="C93" i="5"/>
  <c r="C94" i="5" s="1"/>
  <c r="C95" i="5" s="1"/>
  <c r="L116" i="2"/>
  <c r="M111" i="1"/>
  <c r="M112" i="1" s="1"/>
  <c r="M114" i="1" s="1"/>
  <c r="C34" i="5"/>
  <c r="N29" i="5"/>
  <c r="C97" i="5" l="1"/>
  <c r="C98" i="5" s="1"/>
  <c r="C101" i="5" s="1"/>
  <c r="C103" i="5" s="1"/>
  <c r="M118" i="1"/>
  <c r="L122" i="2"/>
  <c r="L123" i="2" s="1"/>
  <c r="L112" i="2"/>
  <c r="M88" i="2"/>
  <c r="C18" i="4" l="1"/>
  <c r="E18" i="4" s="1"/>
  <c r="M116" i="2"/>
  <c r="M122" i="2" s="1"/>
  <c r="N111" i="1"/>
  <c r="N112" i="1" s="1"/>
  <c r="N114" i="1" s="1"/>
  <c r="N117" i="1"/>
  <c r="M119" i="1"/>
  <c r="M121" i="1" s="1"/>
  <c r="M89" i="2"/>
  <c r="N82" i="1" s="1"/>
  <c r="L124" i="2"/>
  <c r="M121" i="2"/>
  <c r="L113" i="2"/>
  <c r="E19" i="4" l="1"/>
  <c r="E21" i="4" s="1"/>
  <c r="L5" i="5" s="1"/>
  <c r="N30" i="5" s="1"/>
  <c r="M112" i="2"/>
  <c r="M113" i="2" s="1"/>
  <c r="M123" i="2"/>
  <c r="N121" i="2" s="1"/>
  <c r="N86" i="2"/>
  <c r="N85" i="1"/>
  <c r="N87" i="1" s="1"/>
  <c r="N118" i="1"/>
  <c r="E30" i="5" l="1"/>
  <c r="G65" i="5"/>
  <c r="G66" i="5" s="1"/>
  <c r="K30" i="5"/>
  <c r="F30" i="5"/>
  <c r="C35" i="5"/>
  <c r="C36" i="5" s="1"/>
  <c r="L30" i="5"/>
  <c r="I30" i="5"/>
  <c r="G30" i="5"/>
  <c r="M30" i="5"/>
  <c r="J30" i="5"/>
  <c r="H30" i="5"/>
  <c r="M124" i="2"/>
  <c r="N88" i="2"/>
  <c r="N89" i="2" s="1"/>
  <c r="O82" i="1" s="1"/>
  <c r="N119" i="1"/>
  <c r="N121" i="1" s="1"/>
  <c r="O117" i="1"/>
  <c r="G63" i="5" l="1"/>
  <c r="G62" i="5" s="1"/>
  <c r="C37" i="5"/>
  <c r="C38" i="5" s="1"/>
  <c r="C41" i="5" s="1"/>
  <c r="O86" i="2"/>
  <c r="O85" i="1"/>
  <c r="O87" i="1" s="1"/>
  <c r="N116" i="2"/>
  <c r="O111" i="1"/>
  <c r="O112" i="1" s="1"/>
  <c r="O114" i="1" s="1"/>
  <c r="O118" i="1" l="1"/>
  <c r="N122" i="2"/>
  <c r="N123" i="2" s="1"/>
  <c r="N112" i="2"/>
  <c r="C59" i="5"/>
  <c r="C40" i="5"/>
  <c r="O88" i="2"/>
  <c r="O116" i="2" l="1"/>
  <c r="O122" i="2" s="1"/>
  <c r="P111" i="1"/>
  <c r="P112" i="1" s="1"/>
  <c r="P114" i="1" s="1"/>
  <c r="O121" i="2"/>
  <c r="N124" i="2"/>
  <c r="O89" i="2"/>
  <c r="P82" i="1" s="1"/>
  <c r="C61" i="5"/>
  <c r="C62" i="5" s="1"/>
  <c r="C65" i="5" s="1"/>
  <c r="L6" i="5"/>
  <c r="N113" i="2"/>
  <c r="O119" i="1"/>
  <c r="O121" i="1" s="1"/>
  <c r="P117" i="1"/>
  <c r="O112" i="2" l="1"/>
  <c r="O113" i="2" s="1"/>
  <c r="O123" i="2"/>
  <c r="O124" i="2" s="1"/>
  <c r="P86" i="2"/>
  <c r="P85" i="1"/>
  <c r="P87" i="1" s="1"/>
  <c r="C67" i="5"/>
  <c r="G61" i="5" s="1"/>
  <c r="L7" i="5"/>
  <c r="P118" i="1"/>
  <c r="P121" i="2" l="1"/>
  <c r="P88" i="2"/>
  <c r="P89" i="2" s="1"/>
  <c r="Q82" i="1" s="1"/>
  <c r="P119" i="1"/>
  <c r="P121" i="1" s="1"/>
  <c r="Q117" i="1"/>
  <c r="L8" i="5"/>
  <c r="L9" i="5" s="1"/>
  <c r="Q86" i="2" l="1"/>
  <c r="Q85" i="1"/>
  <c r="Q87" i="1" s="1"/>
  <c r="P116" i="2"/>
  <c r="Q111" i="1"/>
  <c r="Q112" i="1" s="1"/>
  <c r="Q114" i="1" s="1"/>
  <c r="P122" i="2" l="1"/>
  <c r="P123" i="2" s="1"/>
  <c r="P112" i="2"/>
  <c r="Q118" i="1"/>
  <c r="Q88" i="2"/>
  <c r="Q116" i="2" l="1"/>
  <c r="Q122" i="2" s="1"/>
  <c r="R111" i="1"/>
  <c r="R112" i="1" s="1"/>
  <c r="R114" i="1" s="1"/>
  <c r="P113" i="2"/>
  <c r="Q89" i="2"/>
  <c r="R82" i="1" s="1"/>
  <c r="R85" i="1" s="1"/>
  <c r="R87" i="1" s="1"/>
  <c r="Q119" i="1"/>
  <c r="Q121" i="1" s="1"/>
  <c r="R117" i="1"/>
  <c r="Q121" i="2"/>
  <c r="P124" i="2"/>
  <c r="Q123" i="2" l="1"/>
  <c r="Q124" i="2" s="1"/>
  <c r="Q112" i="2"/>
  <c r="Q113" i="2" s="1"/>
  <c r="R118" i="1"/>
  <c r="R119" i="1" s="1"/>
  <c r="R12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9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ID#AAABCZLUC48
Anushka Israni    (2023-12-15 05:41:37)
Removed this as we can mention that the dividend Is equal to the income received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5d/5lDkIFi+HMpOgsQDl83+fqJ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0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ID#AAABCZLUC44
Anushka Israni    (2023-12-15 05:41:37)
Repurchases is part of net common stock in forecasted years</t>
        </r>
      </text>
    </comment>
    <comment ref="H118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ID#AAABCmdBX44
Anushka Israni    (2023-12-16 20:18:23)
Average 52 week share price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lyEzMwGfOO0/yraulSJYbS5IKK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3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ID#AAABCSVbKas
Yongjie Ye    (2023-12-12 23:55:26)
Please refer to excess cash analysis</t>
        </r>
      </text>
    </comment>
    <comment ref="C6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ID#AAABCSVbKaw
Yongjie Ye    (2023-12-12 23:55:43)
No contingent equity claims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UFWiL3UFV3mPzVS84oDV/u7aHpQ=="/>
    </ext>
  </extLst>
</comments>
</file>

<file path=xl/sharedStrings.xml><?xml version="1.0" encoding="utf-8"?>
<sst xmlns="http://schemas.openxmlformats.org/spreadsheetml/2006/main" count="528" uniqueCount="349">
  <si>
    <t>$ mm except per share</t>
  </si>
  <si>
    <t>Company name</t>
  </si>
  <si>
    <t>Amazon</t>
  </si>
  <si>
    <t>Ticker</t>
  </si>
  <si>
    <t>AMZN</t>
  </si>
  <si>
    <t>Circ break 1=off, 0=on</t>
  </si>
  <si>
    <t>Latest closing share price</t>
  </si>
  <si>
    <t>Latest closing share price date</t>
  </si>
  <si>
    <t>Latest fiscal year end date</t>
  </si>
  <si>
    <t>Valuation Date</t>
  </si>
  <si>
    <t>Shares outstanding (millions)</t>
  </si>
  <si>
    <t>Select an operating scenario:</t>
  </si>
  <si>
    <t>Base case</t>
  </si>
  <si>
    <t>x</t>
  </si>
  <si>
    <t>INCOME STATEMENT</t>
  </si>
  <si>
    <t xml:space="preserve">Fiscal year  </t>
  </si>
  <si>
    <t>Fiscal year end date</t>
  </si>
  <si>
    <t>Net Product Sales</t>
  </si>
  <si>
    <t>Product sales as a % of revenue</t>
  </si>
  <si>
    <t>Historical trend- decline in product sales</t>
  </si>
  <si>
    <t>Net Service Sales</t>
  </si>
  <si>
    <t>Service sales as a % of revenue</t>
  </si>
  <si>
    <t>Historical trend- increase in product sales</t>
  </si>
  <si>
    <t>Revenue</t>
  </si>
  <si>
    <t>% growth</t>
  </si>
  <si>
    <t>Based on forecasting parameters in 'Schedules'</t>
  </si>
  <si>
    <t>Cost of sales</t>
  </si>
  <si>
    <t>Gross Profit</t>
  </si>
  <si>
    <t>Gross Margin</t>
  </si>
  <si>
    <t>Technology &amp; Content Expenses</t>
  </si>
  <si>
    <t>% Sales</t>
  </si>
  <si>
    <t>Selling, general &amp; administrative</t>
  </si>
  <si>
    <t>Fullfilment Expenses</t>
  </si>
  <si>
    <t>Marketing Expenses</t>
  </si>
  <si>
    <t>Other Operation (Expense) Income</t>
  </si>
  <si>
    <t>Non recurring item, forecasted at average of historical values</t>
  </si>
  <si>
    <t>Operating profit (EBIT)</t>
  </si>
  <si>
    <t>EBIT Margin</t>
  </si>
  <si>
    <t>Interest income</t>
  </si>
  <si>
    <t>Refer to 'Interest Income' projections on Schedules</t>
  </si>
  <si>
    <t xml:space="preserve">Interest expense </t>
  </si>
  <si>
    <t>Refer to 'Interest Expense' projections on Schedules</t>
  </si>
  <si>
    <t>Other (income) expense</t>
  </si>
  <si>
    <t>Estimated a historical average excluding 2021-2022 which had significant valuation gains &amp; losses</t>
  </si>
  <si>
    <t>Equity in Income (Loss) of unconsolidated affiliates, net of taxes</t>
  </si>
  <si>
    <t>Historical average estimated</t>
  </si>
  <si>
    <t>Pretax profit</t>
  </si>
  <si>
    <t>Provision (Benefit) for Income Taxes</t>
  </si>
  <si>
    <t>Pre tax profit * Provision for taxes</t>
  </si>
  <si>
    <t>Tax Rate</t>
  </si>
  <si>
    <t>Estimated a historical average excluding 2022</t>
  </si>
  <si>
    <t>Net income</t>
  </si>
  <si>
    <t>Net Margin</t>
  </si>
  <si>
    <t>Depreciation &amp; amortization</t>
  </si>
  <si>
    <t>Refer to 'Property, Plant &amp; Equipment' on Schedules</t>
  </si>
  <si>
    <t>EBITDA</t>
  </si>
  <si>
    <t>Stock based compensation</t>
  </si>
  <si>
    <t>Projected as a % of sales</t>
  </si>
  <si>
    <t>Adjusted EBITDA</t>
  </si>
  <si>
    <t>BALANCE SHEET</t>
  </si>
  <si>
    <t>Cash &amp; equivalents</t>
  </si>
  <si>
    <t>Projected as a % of Sales using Common size figures of 2022</t>
  </si>
  <si>
    <t>Marketable Securities</t>
  </si>
  <si>
    <t>Inventories</t>
  </si>
  <si>
    <t>Projected as a % of COGS using Common size figures of 2022</t>
  </si>
  <si>
    <t>Accounts Receiveable</t>
  </si>
  <si>
    <t>Property, plant &amp; equipment (net)</t>
  </si>
  <si>
    <t xml:space="preserve">Projected as a % of Sales using historical average of common size figures </t>
  </si>
  <si>
    <t>Operating Leases</t>
  </si>
  <si>
    <t>Goodwill</t>
  </si>
  <si>
    <t>Estimated a constant amount of goodwill</t>
  </si>
  <si>
    <t>Other non current assets</t>
  </si>
  <si>
    <t>Total assets</t>
  </si>
  <si>
    <t>Accounts payable</t>
  </si>
  <si>
    <t>Accrued Expenses</t>
  </si>
  <si>
    <t>Deferred revenue (current)</t>
  </si>
  <si>
    <t>Total Current Liabilities</t>
  </si>
  <si>
    <t>Long Term Debt</t>
  </si>
  <si>
    <t>Projected as a % of Total Assets using Common size figures of 2022</t>
  </si>
  <si>
    <t>Long Term Capital Lease Obligations</t>
  </si>
  <si>
    <t>Other Long term liabilities</t>
  </si>
  <si>
    <t>Total Long Term Liabilities</t>
  </si>
  <si>
    <t>Total liabilities</t>
  </si>
  <si>
    <t>Common stock</t>
  </si>
  <si>
    <t>Additional Paid in Capital</t>
  </si>
  <si>
    <t>Treasury Stock</t>
  </si>
  <si>
    <t>Net Common Stock</t>
  </si>
  <si>
    <t>Plug</t>
  </si>
  <si>
    <t xml:space="preserve">Retained earnings </t>
  </si>
  <si>
    <t>Refer to 'Retained Earnings' on Schedules</t>
  </si>
  <si>
    <t>Other comprehensive income</t>
  </si>
  <si>
    <t>Estimated a constant amount of Other Comprehensive Income</t>
  </si>
  <si>
    <t>Total equity</t>
  </si>
  <si>
    <t>Balance check</t>
  </si>
  <si>
    <t>CASH FLOW STATEMENT</t>
  </si>
  <si>
    <t>Depreciation and amortization</t>
  </si>
  <si>
    <t>Decreases / (Increases) in working capital assets</t>
  </si>
  <si>
    <t>Increases / (Decreases) in working capital liabilities</t>
  </si>
  <si>
    <t>Other non current liabilities</t>
  </si>
  <si>
    <t>Equity in Income (Loss) of unconsolidated affiliates</t>
  </si>
  <si>
    <t>Operating leases</t>
  </si>
  <si>
    <t>Cash from operating activities</t>
  </si>
  <si>
    <t>Capital expenditures</t>
  </si>
  <si>
    <t>Cash from investing activities</t>
  </si>
  <si>
    <t>Long term debt</t>
  </si>
  <si>
    <t>Net Common Stocks</t>
  </si>
  <si>
    <t>Cash from financing activities</t>
  </si>
  <si>
    <t>Net change in cash during period</t>
  </si>
  <si>
    <t>CASH</t>
  </si>
  <si>
    <t>Beginning of period</t>
  </si>
  <si>
    <t>End of period</t>
  </si>
  <si>
    <t>Change in Cash</t>
  </si>
  <si>
    <t>Balance Check</t>
  </si>
  <si>
    <t>FORECASTING PARAMETERS</t>
  </si>
  <si>
    <t>Active case:</t>
  </si>
  <si>
    <t>Step</t>
  </si>
  <si>
    <t>Revenue growth %</t>
  </si>
  <si>
    <t>Increase</t>
  </si>
  <si>
    <t>Decrease</t>
  </si>
  <si>
    <t>Product Sales %</t>
  </si>
  <si>
    <t>Service Sales %</t>
  </si>
  <si>
    <t>Gross profit margin %</t>
  </si>
  <si>
    <t>Technology and content expenses % of sales</t>
  </si>
  <si>
    <t>SG&amp;A % of sales</t>
  </si>
  <si>
    <t>Fulfillment expenses % of sales</t>
  </si>
  <si>
    <t>Marketing expenses % of sales</t>
  </si>
  <si>
    <t>Stock Based Compensation %</t>
  </si>
  <si>
    <t>Best case</t>
  </si>
  <si>
    <t>Grows to historical high sales growth in 2025F after which it declines to the long run growth rate of 3.19%</t>
  </si>
  <si>
    <t>Grows to 30% in the range of historical high and average sales growth (to be conservative) from trend analysis till 2029F after which it declines to the long term growth rate of 3.19%</t>
  </si>
  <si>
    <t>Weak case</t>
  </si>
  <si>
    <t>Grows to historical average sales growth in 2025F after which it declines to the long run growth rate of 3.19%</t>
  </si>
  <si>
    <t>Historical High used to show Amazon's increase in gross profit margins</t>
  </si>
  <si>
    <t>Historical average of 2018-2021 used as 2022 is historical high and such levels are not expected to persist</t>
  </si>
  <si>
    <t>Declines to historical low in 2025F and then remains stable</t>
  </si>
  <si>
    <t>Historical High used to show Amazon's increasing Technology expenses consisted with its business model</t>
  </si>
  <si>
    <t>Declines to Historical average of 2018-2021 used as 2022 is historical high and such levels are not expected to persist</t>
  </si>
  <si>
    <t>Historical average used</t>
  </si>
  <si>
    <t>Historical low used</t>
  </si>
  <si>
    <t>PROPERTY, PLANT &amp; EQUIPMENT</t>
  </si>
  <si>
    <t xml:space="preserve">BOP = Previous year EOP </t>
  </si>
  <si>
    <t>Capital Expenditure</t>
  </si>
  <si>
    <t>EOP - BOP + Depreciation</t>
  </si>
  <si>
    <t>Less: Depreciation</t>
  </si>
  <si>
    <t>Average Net PP&amp;E * D&amp;A%</t>
  </si>
  <si>
    <t>4 year average % of sales</t>
  </si>
  <si>
    <t>D&amp;A related to PP&amp;E as a % of Average PP&amp;E</t>
  </si>
  <si>
    <t>4 year average %</t>
  </si>
  <si>
    <t>Residual D&amp;A</t>
  </si>
  <si>
    <t>D&amp;A not pertaining to PP&amp;E</t>
  </si>
  <si>
    <t>% of sales in CY revenue</t>
  </si>
  <si>
    <t>as % of sales</t>
  </si>
  <si>
    <t>2022 % of sales used as a forecating parameter</t>
  </si>
  <si>
    <t>Total D&amp;A</t>
  </si>
  <si>
    <t>Other Non-Current Asset</t>
  </si>
  <si>
    <t>BOP balance</t>
  </si>
  <si>
    <t>Less: Residual D&amp;A</t>
  </si>
  <si>
    <t>From Residual D&amp;A schedule above</t>
  </si>
  <si>
    <t>Plus: Addition</t>
  </si>
  <si>
    <t>Plug figure</t>
  </si>
  <si>
    <t>% of sales</t>
  </si>
  <si>
    <t>RETAINED EARNINGS</t>
  </si>
  <si>
    <t>Plus: Net income</t>
  </si>
  <si>
    <t>Less: Dividends</t>
  </si>
  <si>
    <t>Less: Repurchases</t>
  </si>
  <si>
    <t>NET COMMON STOCK</t>
  </si>
  <si>
    <t>Total Assets</t>
  </si>
  <si>
    <t>Liabilities + Stockholder equity (excl Net Common Stock)</t>
  </si>
  <si>
    <t>Plus: Stock based compensation</t>
  </si>
  <si>
    <t>Plug figure here</t>
  </si>
  <si>
    <t>Total Assets - (Liabilities + Stockholder equity (excl Net Common Stock))</t>
  </si>
  <si>
    <t>INTEREST EXPENSE AND INTEREST INCOME</t>
  </si>
  <si>
    <t>Long-term debt (from B/S)</t>
  </si>
  <si>
    <t>Reference from B/S</t>
  </si>
  <si>
    <t>Finance lease (from 10k lease note)</t>
  </si>
  <si>
    <t>Total interest-bearing debt</t>
  </si>
  <si>
    <t>Weighted average interest rate</t>
  </si>
  <si>
    <t>Historical average interest rate taken constant rate for forecasting</t>
  </si>
  <si>
    <t>Interest rate x average of BOP &amp; EOP LTD balances</t>
  </si>
  <si>
    <t>Interest rate on cash</t>
  </si>
  <si>
    <t>End of period balance (from B/S)</t>
  </si>
  <si>
    <t>Weighted average interest rate on cash</t>
  </si>
  <si>
    <t>Constant rate of 2022</t>
  </si>
  <si>
    <t>Interest rate x average of BOP &amp; EOP cash balances</t>
  </si>
  <si>
    <t>EARNINGS PER SHARE</t>
  </si>
  <si>
    <t>Reference from I/S</t>
  </si>
  <si>
    <t xml:space="preserve">Basic shares </t>
  </si>
  <si>
    <t>Last period basic shares + ($ shares issued - $ shares repurchased)/Current period average share price OR reference average Basic shares from schedule below</t>
  </si>
  <si>
    <t>Basic EPS Forecast</t>
  </si>
  <si>
    <t>Net income / Basic shares</t>
  </si>
  <si>
    <t>$ amount of shares repurchased</t>
  </si>
  <si>
    <t>Reference from RE schedule - treasury repurchases (flip sign)</t>
  </si>
  <si>
    <t>$ amount of new shares issued</t>
  </si>
  <si>
    <t xml:space="preserve">Reference SBC from I/S </t>
  </si>
  <si>
    <t>Average share price</t>
  </si>
  <si>
    <t>Last period share price x (1+growth rate)</t>
  </si>
  <si>
    <t>Share price increase</t>
  </si>
  <si>
    <t>WSP assumption OR grow with net income growth rate (calculated below)</t>
  </si>
  <si>
    <t>Optional analysis for calculating weighted average basic shares</t>
  </si>
  <si>
    <t>Basic Shares - BOP</t>
  </si>
  <si>
    <t>Reference from latest share count &gt;</t>
  </si>
  <si>
    <t xml:space="preserve">Link to prior year Basic shares - EOP </t>
  </si>
  <si>
    <t>Net change in basic shares</t>
  </si>
  <si>
    <t xml:space="preserve"> ($ shares issued - $ shares repurchased)/Current period average share price</t>
  </si>
  <si>
    <t>Basic shares - EOP</t>
  </si>
  <si>
    <t>Basic Shares - BOP + Net change in basic shares</t>
  </si>
  <si>
    <t>Basic shares - average</t>
  </si>
  <si>
    <t>Average(Basic Shares BOP,Basic Shares EOP)</t>
  </si>
  <si>
    <t>COMMON SIZE ANALYSIS</t>
  </si>
  <si>
    <t>TREND ANALYSIS</t>
  </si>
  <si>
    <t>Historical High</t>
  </si>
  <si>
    <t>Historical Low</t>
  </si>
  <si>
    <t>Average</t>
  </si>
  <si>
    <t>Interest expense</t>
  </si>
  <si>
    <t>Property, plant &amp; equipment</t>
  </si>
  <si>
    <t>WACC Buildup</t>
  </si>
  <si>
    <t>$ and shares in millions, except per share data</t>
  </si>
  <si>
    <t>Cost of capital assumptions</t>
  </si>
  <si>
    <t>Calculating WACC</t>
  </si>
  <si>
    <t>Source</t>
  </si>
  <si>
    <t>Govt. bond yield</t>
  </si>
  <si>
    <t>10y</t>
  </si>
  <si>
    <t>Cost of debt</t>
  </si>
  <si>
    <t>Same as I/S parameter we used for forecast</t>
  </si>
  <si>
    <t>Eq. risk premium</t>
  </si>
  <si>
    <t>20y hist avg</t>
  </si>
  <si>
    <t>Tax rate</t>
  </si>
  <si>
    <t>Adj. beta</t>
  </si>
  <si>
    <t>company</t>
  </si>
  <si>
    <t>Cost of debt (after tax)</t>
  </si>
  <si>
    <t>Cost of debt x (1 - tax rate)</t>
  </si>
  <si>
    <t>Est. cost of equity</t>
  </si>
  <si>
    <t>Unlevered beta</t>
  </si>
  <si>
    <t>Risk free rate</t>
  </si>
  <si>
    <t>30-year treasury rate as of valuation date</t>
  </si>
  <si>
    <t>Link: St. Louis Fed</t>
  </si>
  <si>
    <t>Beta</t>
  </si>
  <si>
    <t>Felix</t>
  </si>
  <si>
    <t>Credit spread</t>
  </si>
  <si>
    <t>Market risk premium</t>
  </si>
  <si>
    <t>Krol Rating</t>
  </si>
  <si>
    <t>Cost of equity</t>
  </si>
  <si>
    <t>RfR + Beta x MRP</t>
  </si>
  <si>
    <t>Credit rating(Moodys/S&amp;P)</t>
  </si>
  <si>
    <t>A2 / --</t>
  </si>
  <si>
    <t>Total debt / capitalization</t>
  </si>
  <si>
    <t>Capital weights (capital structure)</t>
  </si>
  <si>
    <t>Total debt/mkt Cap</t>
  </si>
  <si>
    <t>Target</t>
  </si>
  <si>
    <t>WACC</t>
  </si>
  <si>
    <t>Current</t>
  </si>
  <si>
    <t>(override)</t>
  </si>
  <si>
    <t>% of total</t>
  </si>
  <si>
    <t>* Updated 30 Nov 2023</t>
  </si>
  <si>
    <t>Equity</t>
  </si>
  <si>
    <t xml:space="preserve">Estimated through direct common equity valuation (FCFE) </t>
  </si>
  <si>
    <t>Debt</t>
  </si>
  <si>
    <t>Estimated through DCF valuation (FCF to debt)</t>
  </si>
  <si>
    <t>Cost of capital (WACC)</t>
  </si>
  <si>
    <t>Discounted Cash Flow Valuation</t>
  </si>
  <si>
    <t>Most recent fiscal year end</t>
  </si>
  <si>
    <t>Market Information</t>
  </si>
  <si>
    <t>DCF Valuation Results</t>
  </si>
  <si>
    <t>End of first fiscal year</t>
  </si>
  <si>
    <t>Share price</t>
  </si>
  <si>
    <t>Discount rate (WACC)</t>
  </si>
  <si>
    <t>Most recent quarter end date</t>
  </si>
  <si>
    <t>Share price date</t>
  </si>
  <si>
    <t>Enterprise Value in million</t>
  </si>
  <si>
    <t>Valuation date</t>
  </si>
  <si>
    <t># of shares in million</t>
  </si>
  <si>
    <t>Equity Value in million</t>
  </si>
  <si>
    <t>Portion of year 1 cash flows in forecast</t>
  </si>
  <si>
    <t>Market Cap in million</t>
  </si>
  <si>
    <t>Target Price</t>
  </si>
  <si>
    <t>% change to current price</t>
  </si>
  <si>
    <t>Free Cash Flows</t>
  </si>
  <si>
    <t>Cash from operations  (adjusted for stock-based compensation)</t>
  </si>
  <si>
    <t>- Increase in operating cash</t>
  </si>
  <si>
    <t>+ Cash from investing</t>
  </si>
  <si>
    <t>+ Interest expense</t>
  </si>
  <si>
    <t>- Tax shield on interest</t>
  </si>
  <si>
    <t>Free cash flows to All Investors (FCF)</t>
  </si>
  <si>
    <t>Present value of FCF</t>
  </si>
  <si>
    <t>Val date</t>
  </si>
  <si>
    <t>Yr 1 - Stub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</si>
  <si>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</si>
  <si>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</si>
  <si>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</si>
  <si>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</si>
  <si>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</si>
  <si>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</si>
  <si>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</si>
  <si>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</si>
  <si>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</si>
  <si>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Date for discounting cash flows</t>
  </si>
  <si>
    <t>Free cash flows (FCF) stub adjusted</t>
  </si>
  <si>
    <t>Present value of of free cash flows</t>
  </si>
  <si>
    <t>Total enterprise value (TEV) calculation</t>
  </si>
  <si>
    <t>Excess cash analysis</t>
  </si>
  <si>
    <t>Long term growth rate</t>
  </si>
  <si>
    <t>2023Q3-A</t>
  </si>
  <si>
    <t>2032 FCF x (1+g)</t>
  </si>
  <si>
    <t>Terminal value in 2032</t>
  </si>
  <si>
    <t>Operating cash</t>
  </si>
  <si>
    <t>PV of terminal value</t>
  </si>
  <si>
    <t>Sales</t>
  </si>
  <si>
    <t>PV over finite forecast horizon</t>
  </si>
  <si>
    <t>Retained earnings</t>
  </si>
  <si>
    <t>Total enterprise value (TEV)</t>
  </si>
  <si>
    <t>Operating cash/sales</t>
  </si>
  <si>
    <t>Average:</t>
  </si>
  <si>
    <t>Excess cash analysis note:</t>
  </si>
  <si>
    <t>Terminal value as % of TEV</t>
  </si>
  <si>
    <t>1. Amazon typically operates with operating cash-to-sales ratio more than 18%</t>
  </si>
  <si>
    <t>Stage 1 cash flows as % of TEV</t>
  </si>
  <si>
    <t>2. We observed a decrease of approximately 3% in the operating cash-to-sales ratio compared to average of 18% in most recent financial report 2023Q3</t>
  </si>
  <si>
    <r>
      <rPr>
        <b/>
        <i/>
        <sz val="11"/>
        <color rgb="FF000000"/>
        <rFont val="Arial"/>
        <family val="2"/>
      </rPr>
      <t xml:space="preserve">Conclusion: </t>
    </r>
    <r>
      <rPr>
        <i/>
        <sz val="11"/>
        <color rgb="FF000000"/>
        <rFont val="Arial"/>
        <family val="2"/>
      </rPr>
      <t>As it is unlikely that the operating cash-to-sales ratio "jump" over 18% on the valuation date, we believe Amazon's excess cash equals 0 on valuation date</t>
    </r>
  </si>
  <si>
    <t>Value to debt holders</t>
  </si>
  <si>
    <t>Interest payment</t>
  </si>
  <si>
    <t>Minus debt issuance</t>
  </si>
  <si>
    <t>FCF to Debt (stub adjusted)</t>
  </si>
  <si>
    <t>PV of FCF to debt</t>
  </si>
  <si>
    <t>2032 FCF to debt x (1+g)</t>
  </si>
  <si>
    <t>Terminal Value in 2032</t>
  </si>
  <si>
    <t>PV of Terminal Value</t>
  </si>
  <si>
    <t>PV of debt over finite life</t>
  </si>
  <si>
    <t>Total value to debt holders</t>
  </si>
  <si>
    <t>Valuation calculation</t>
  </si>
  <si>
    <t>Perpetuity</t>
  </si>
  <si>
    <t>Sensitivity Analysis</t>
  </si>
  <si>
    <t>Enterprise value</t>
  </si>
  <si>
    <t>Estimated Price Per Share</t>
  </si>
  <si>
    <t>Less: value of debt</t>
  </si>
  <si>
    <t>Long term growth rate (g):</t>
  </si>
  <si>
    <t>Forecast equity value before time adjustment</t>
  </si>
  <si>
    <t>Forecast equity value as of valuation date</t>
  </si>
  <si>
    <t>Plus: excess cash as of valuation date</t>
  </si>
  <si>
    <t>Less: value of contingent equity claims</t>
  </si>
  <si>
    <t>WACC:</t>
  </si>
  <si>
    <t>Estimated equity value</t>
  </si>
  <si>
    <t>Common shares outstanding in million</t>
  </si>
  <si>
    <t>Estimated Price per Share</t>
  </si>
  <si>
    <t>Free Cash Flows to Common Equity (implemented for calculation of WACC)</t>
  </si>
  <si>
    <t>+ Increase in debt</t>
  </si>
  <si>
    <t>- Dividends paid on preferred</t>
  </si>
  <si>
    <t>+ Increase in preferred stock</t>
  </si>
  <si>
    <t>Free cash flows to common equity (FCFE)</t>
  </si>
  <si>
    <t>2032 FCFE x (1+g)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</si>
</sst>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&quot;$&quot;#,##0.00_);\(&quot;$&quot;#,##0.00\)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(#,##0_)_%;\(#,##0\)_%;_(&quot;–&quot;_)_%;_(@_)_%"/>
    <numFmt numFmtId="170" formatCode="m/d/yy"/>
    <numFmt numFmtId="171" formatCode="0\A;[Red]0\A"/>
    <numFmt numFmtId="172" formatCode="0\F_);\(0\F\)"/>
    <numFmt numFmtId="173" formatCode="0.0%"/>
    <numFmt numFmtId="174" formatCode="_(* #,##0_);_(* \(#,##0\);_(* &quot;-&quot;??_);_(@_)"/>
    <numFmt numFmtId="175" formatCode="0\P_);\(0\P\)"/>
    <numFmt numFmtId="176" formatCode="0.0%_);\(0.0%\);@_)"/>
    <numFmt numFmtId="177" formatCode="0.00%_);\(0.00%\);@_)"/>
    <numFmt numFmtId="178" formatCode="_(#,##0.0%_);\(#,##0.0%\);_(&quot;–&quot;_)_%;_(@_)_%"/>
    <numFmt numFmtId="179" formatCode="_(#,##0.00%_);\(#,##0.00%\);_(&quot;–&quot;_)_%;_(@_)_%"/>
    <numFmt numFmtId="180" formatCode="0.000000000000000%"/>
    <numFmt numFmtId="181" formatCode="&quot;$&quot;#,##0.00"/>
    <numFmt numFmtId="182" formatCode="#,##0.00_);\(#,##0.00\);\-_);@_)"/>
  </numFmts>
  <fonts count="37" x14ac:knownFonts="1">
    <font>
      <sz val="11"/>
      <color theme="1"/>
      <name val="Calibri"/>
      <scheme val="minor"/>
    </font>
    <font>
      <b/>
      <sz val="16"/>
      <color theme="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FF"/>
      <name val="Calibri"/>
      <family val="2"/>
    </font>
    <font>
      <i/>
      <sz val="11"/>
      <color rgb="FF76923C"/>
      <name val="Calibri"/>
      <family val="2"/>
    </font>
    <font>
      <b/>
      <sz val="11"/>
      <color rgb="FF000000"/>
      <name val="Calibri"/>
      <family val="2"/>
    </font>
    <font>
      <sz val="11"/>
      <color rgb="FF76923C"/>
      <name val="Calibri"/>
      <family val="2"/>
    </font>
    <font>
      <b/>
      <sz val="9"/>
      <color theme="1"/>
      <name val="Calibri"/>
      <family val="2"/>
    </font>
    <font>
      <b/>
      <i/>
      <sz val="11"/>
      <color theme="1"/>
      <name val="Calibri"/>
      <family val="2"/>
    </font>
    <font>
      <i/>
      <u/>
      <sz val="11"/>
      <color theme="1"/>
      <name val="Calibri"/>
      <family val="2"/>
    </font>
    <font>
      <sz val="11"/>
      <color rgb="FF000000"/>
      <name val="Times New Roman"/>
      <family val="1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9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</font>
    <font>
      <u/>
      <sz val="11"/>
      <color rgb="FF0000FF"/>
      <name val="Calibri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u/>
      <sz val="11"/>
      <color rgb="FF0000FF"/>
      <name val="Calibri"/>
      <family val="2"/>
    </font>
    <font>
      <i/>
      <sz val="11"/>
      <color rgb="FF999999"/>
      <name val="Calibri"/>
      <family val="2"/>
    </font>
    <font>
      <i/>
      <sz val="11"/>
      <color rgb="FF008000"/>
      <name val="Calibri"/>
      <family val="2"/>
    </font>
    <font>
      <b/>
      <u/>
      <sz val="11"/>
      <color rgb="FF0070C0"/>
      <name val="Calibri"/>
      <family val="2"/>
    </font>
    <font>
      <b/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u/>
      <sz val="11"/>
      <color theme="1"/>
      <name val="Calibri"/>
      <family val="2"/>
    </font>
    <font>
      <u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i/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thin">
        <color rgb="FF000000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rgb="FF000000"/>
      </left>
      <right/>
      <top/>
      <bottom style="dotted">
        <color indexed="64"/>
      </bottom>
      <diagonal/>
    </border>
  </borders>
  <cellStyleXfs count="2">
    <xf numFmtId="0" fontId="0" fillId="0" borderId="0"/>
    <xf numFmtId="167" fontId="18" fillId="0" borderId="0" applyFont="0" applyFill="0" applyBorder="0" applyAlignment="0" applyProtection="0"/>
  </cellStyleXfs>
  <cellXfs count="30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 applyAlignment="1">
      <alignment horizontal="left"/>
    </xf>
    <xf numFmtId="0" fontId="2" fillId="0" borderId="2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0" xfId="0" applyFont="1"/>
    <xf numFmtId="169" fontId="5" fillId="3" borderId="3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70" fontId="5" fillId="0" borderId="0" xfId="0" applyNumberFormat="1" applyFont="1" applyAlignment="1">
      <alignment horizontal="center"/>
    </xf>
    <xf numFmtId="37" fontId="5" fillId="0" borderId="0" xfId="0" applyNumberFormat="1" applyFont="1" applyAlignment="1">
      <alignment horizontal="center"/>
    </xf>
    <xf numFmtId="0" fontId="6" fillId="0" borderId="4" xfId="0" applyFont="1" applyBorder="1"/>
    <xf numFmtId="0" fontId="2" fillId="0" borderId="4" xfId="0" applyFont="1" applyBorder="1"/>
    <xf numFmtId="171" fontId="6" fillId="0" borderId="0" xfId="0" applyNumberFormat="1" applyFont="1"/>
    <xf numFmtId="171" fontId="6" fillId="0" borderId="5" xfId="0" applyNumberFormat="1" applyFont="1" applyBorder="1"/>
    <xf numFmtId="172" fontId="6" fillId="0" borderId="0" xfId="0" applyNumberFormat="1" applyFont="1"/>
    <xf numFmtId="0" fontId="7" fillId="0" borderId="4" xfId="0" applyFont="1" applyBorder="1"/>
    <xf numFmtId="170" fontId="7" fillId="0" borderId="4" xfId="0" applyNumberFormat="1" applyFont="1" applyBorder="1"/>
    <xf numFmtId="170" fontId="7" fillId="0" borderId="6" xfId="0" applyNumberFormat="1" applyFont="1" applyBorder="1"/>
    <xf numFmtId="0" fontId="7" fillId="0" borderId="0" xfId="0" applyFont="1"/>
    <xf numFmtId="170" fontId="8" fillId="0" borderId="0" xfId="0" applyNumberFormat="1" applyFont="1"/>
    <xf numFmtId="170" fontId="7" fillId="0" borderId="0" xfId="0" applyNumberFormat="1" applyFont="1"/>
    <xf numFmtId="170" fontId="7" fillId="0" borderId="7" xfId="0" applyNumberFormat="1" applyFont="1" applyBorder="1"/>
    <xf numFmtId="9" fontId="7" fillId="0" borderId="0" xfId="0" applyNumberFormat="1" applyFont="1"/>
    <xf numFmtId="173" fontId="7" fillId="0" borderId="0" xfId="0" applyNumberFormat="1" applyFont="1"/>
    <xf numFmtId="174" fontId="5" fillId="0" borderId="0" xfId="0" applyNumberFormat="1" applyFont="1"/>
    <xf numFmtId="174" fontId="5" fillId="0" borderId="7" xfId="0" applyNumberFormat="1" applyFont="1" applyBorder="1"/>
    <xf numFmtId="174" fontId="2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0" fontId="3" fillId="0" borderId="0" xfId="0" applyNumberFormat="1" applyFont="1"/>
    <xf numFmtId="10" fontId="3" fillId="0" borderId="7" xfId="0" applyNumberFormat="1" applyFont="1" applyBorder="1"/>
    <xf numFmtId="10" fontId="9" fillId="0" borderId="0" xfId="0" applyNumberFormat="1" applyFont="1" applyAlignment="1">
      <alignment horizontal="right"/>
    </xf>
    <xf numFmtId="10" fontId="4" fillId="0" borderId="0" xfId="0" applyNumberFormat="1" applyFont="1"/>
    <xf numFmtId="10" fontId="4" fillId="0" borderId="7" xfId="0" applyNumberFormat="1" applyFont="1" applyBorder="1"/>
    <xf numFmtId="0" fontId="6" fillId="0" borderId="0" xfId="0" applyFont="1"/>
    <xf numFmtId="0" fontId="6" fillId="0" borderId="8" xfId="0" applyFont="1" applyBorder="1"/>
    <xf numFmtId="174" fontId="10" fillId="0" borderId="8" xfId="0" applyNumberFormat="1" applyFont="1" applyBorder="1"/>
    <xf numFmtId="174" fontId="10" fillId="0" borderId="5" xfId="0" applyNumberFormat="1" applyFont="1" applyBorder="1"/>
    <xf numFmtId="174" fontId="6" fillId="0" borderId="8" xfId="0" applyNumberFormat="1" applyFont="1" applyBorder="1"/>
    <xf numFmtId="37" fontId="10" fillId="0" borderId="0" xfId="0" applyNumberFormat="1" applyFont="1"/>
    <xf numFmtId="10" fontId="11" fillId="0" borderId="0" xfId="0" applyNumberFormat="1" applyFont="1"/>
    <xf numFmtId="174" fontId="11" fillId="0" borderId="0" xfId="0" applyNumberFormat="1" applyFont="1" applyAlignment="1">
      <alignment horizontal="right"/>
    </xf>
    <xf numFmtId="10" fontId="7" fillId="0" borderId="0" xfId="0" applyNumberFormat="1" applyFont="1" applyAlignment="1">
      <alignment horizontal="right"/>
    </xf>
    <xf numFmtId="0" fontId="6" fillId="0" borderId="9" xfId="0" applyFont="1" applyBorder="1"/>
    <xf numFmtId="174" fontId="6" fillId="0" borderId="9" xfId="0" applyNumberFormat="1" applyFont="1" applyBorder="1" applyAlignment="1">
      <alignment horizontal="right"/>
    </xf>
    <xf numFmtId="174" fontId="6" fillId="0" borderId="1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37" fontId="4" fillId="0" borderId="0" xfId="0" applyNumberFormat="1" applyFont="1"/>
    <xf numFmtId="37" fontId="4" fillId="0" borderId="7" xfId="0" applyNumberFormat="1" applyFont="1" applyBorder="1"/>
    <xf numFmtId="10" fontId="2" fillId="0" borderId="0" xfId="0" applyNumberFormat="1" applyFont="1" applyAlignment="1">
      <alignment horizontal="right"/>
    </xf>
    <xf numFmtId="37" fontId="2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174" fontId="10" fillId="0" borderId="0" xfId="0" applyNumberFormat="1" applyFont="1"/>
    <xf numFmtId="174" fontId="10" fillId="0" borderId="7" xfId="0" applyNumberFormat="1" applyFont="1" applyBorder="1"/>
    <xf numFmtId="174" fontId="6" fillId="0" borderId="0" xfId="0" applyNumberFormat="1" applyFont="1" applyAlignment="1">
      <alignment horizontal="right"/>
    </xf>
    <xf numFmtId="0" fontId="2" fillId="0" borderId="7" xfId="0" applyFont="1" applyBorder="1"/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right"/>
    </xf>
    <xf numFmtId="14" fontId="7" fillId="0" borderId="0" xfId="0" applyNumberFormat="1" applyFont="1"/>
    <xf numFmtId="171" fontId="10" fillId="0" borderId="0" xfId="0" applyNumberFormat="1" applyFont="1"/>
    <xf numFmtId="171" fontId="10" fillId="0" borderId="7" xfId="0" applyNumberFormat="1" applyFont="1" applyBorder="1"/>
    <xf numFmtId="170" fontId="3" fillId="0" borderId="4" xfId="0" applyNumberFormat="1" applyFont="1" applyBorder="1" applyAlignment="1">
      <alignment horizontal="right"/>
    </xf>
    <xf numFmtId="170" fontId="3" fillId="0" borderId="4" xfId="0" applyNumberFormat="1" applyFont="1" applyBorder="1"/>
    <xf numFmtId="170" fontId="3" fillId="0" borderId="6" xfId="0" applyNumberFormat="1" applyFont="1" applyBorder="1"/>
    <xf numFmtId="0" fontId="6" fillId="0" borderId="8" xfId="0" applyFont="1" applyBorder="1" applyAlignment="1">
      <alignment horizontal="left"/>
    </xf>
    <xf numFmtId="174" fontId="6" fillId="0" borderId="8" xfId="0" applyNumberFormat="1" applyFont="1" applyBorder="1" applyAlignment="1">
      <alignment horizontal="right"/>
    </xf>
    <xf numFmtId="174" fontId="4" fillId="0" borderId="0" xfId="0" applyNumberFormat="1" applyFont="1"/>
    <xf numFmtId="174" fontId="4" fillId="0" borderId="7" xfId="0" applyNumberFormat="1" applyFont="1" applyBorder="1"/>
    <xf numFmtId="174" fontId="10" fillId="0" borderId="0" xfId="0" applyNumberFormat="1" applyFont="1" applyAlignment="1">
      <alignment horizontal="right"/>
    </xf>
    <xf numFmtId="174" fontId="10" fillId="0" borderId="8" xfId="0" applyNumberFormat="1" applyFont="1" applyBorder="1" applyAlignment="1">
      <alignment horizontal="right"/>
    </xf>
    <xf numFmtId="39" fontId="4" fillId="0" borderId="0" xfId="0" applyNumberFormat="1" applyFont="1"/>
    <xf numFmtId="174" fontId="3" fillId="0" borderId="0" xfId="0" applyNumberFormat="1" applyFont="1"/>
    <xf numFmtId="168" fontId="3" fillId="0" borderId="0" xfId="0" applyNumberFormat="1" applyFont="1"/>
    <xf numFmtId="174" fontId="3" fillId="0" borderId="7" xfId="0" applyNumberFormat="1" applyFont="1" applyBorder="1"/>
    <xf numFmtId="174" fontId="7" fillId="0" borderId="0" xfId="0" applyNumberFormat="1" applyFont="1" applyAlignment="1">
      <alignment horizontal="right"/>
    </xf>
    <xf numFmtId="170" fontId="7" fillId="0" borderId="4" xfId="0" applyNumberFormat="1" applyFont="1" applyBorder="1" applyAlignment="1">
      <alignment horizontal="right"/>
    </xf>
    <xf numFmtId="3" fontId="2" fillId="0" borderId="0" xfId="0" applyNumberFormat="1" applyFont="1"/>
    <xf numFmtId="3" fontId="2" fillId="0" borderId="7" xfId="0" applyNumberFormat="1" applyFont="1" applyBorder="1"/>
    <xf numFmtId="37" fontId="2" fillId="0" borderId="0" xfId="0" applyNumberFormat="1" applyFont="1"/>
    <xf numFmtId="37" fontId="2" fillId="0" borderId="7" xfId="0" applyNumberFormat="1" applyFont="1" applyBorder="1"/>
    <xf numFmtId="0" fontId="2" fillId="0" borderId="8" xfId="0" applyFont="1" applyBorder="1"/>
    <xf numFmtId="0" fontId="2" fillId="0" borderId="5" xfId="0" applyFont="1" applyBorder="1"/>
    <xf numFmtId="174" fontId="2" fillId="0" borderId="0" xfId="0" applyNumberFormat="1" applyFont="1"/>
    <xf numFmtId="4" fontId="10" fillId="0" borderId="7" xfId="0" applyNumberFormat="1" applyFont="1" applyBorder="1"/>
    <xf numFmtId="175" fontId="10" fillId="0" borderId="0" xfId="0" applyNumberFormat="1" applyFont="1" applyAlignment="1">
      <alignment horizontal="right"/>
    </xf>
    <xf numFmtId="176" fontId="4" fillId="0" borderId="0" xfId="0" applyNumberFormat="1" applyFont="1"/>
    <xf numFmtId="0" fontId="6" fillId="0" borderId="4" xfId="0" applyFont="1" applyBorder="1" applyAlignment="1">
      <alignment horizontal="right"/>
    </xf>
    <xf numFmtId="169" fontId="6" fillId="0" borderId="11" xfId="0" applyNumberFormat="1" applyFont="1" applyBorder="1"/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3" fillId="0" borderId="0" xfId="0" applyFont="1" applyAlignment="1">
      <alignment horizontal="left"/>
    </xf>
    <xf numFmtId="177" fontId="2" fillId="0" borderId="14" xfId="0" applyNumberFormat="1" applyFont="1" applyBorder="1" applyAlignment="1">
      <alignment horizontal="center"/>
    </xf>
    <xf numFmtId="177" fontId="2" fillId="0" borderId="15" xfId="0" applyNumberFormat="1" applyFont="1" applyBorder="1" applyAlignment="1">
      <alignment horizontal="center"/>
    </xf>
    <xf numFmtId="177" fontId="2" fillId="0" borderId="0" xfId="0" applyNumberFormat="1" applyFont="1" applyAlignment="1">
      <alignment horizontal="right"/>
    </xf>
    <xf numFmtId="0" fontId="13" fillId="0" borderId="0" xfId="0" applyFont="1"/>
    <xf numFmtId="168" fontId="2" fillId="0" borderId="0" xfId="0" applyNumberFormat="1" applyFont="1" applyAlignment="1">
      <alignment horizontal="right"/>
    </xf>
    <xf numFmtId="0" fontId="13" fillId="0" borderId="16" xfId="0" applyFont="1" applyBorder="1"/>
    <xf numFmtId="0" fontId="2" fillId="0" borderId="16" xfId="0" applyFont="1" applyBorder="1"/>
    <xf numFmtId="177" fontId="2" fillId="0" borderId="17" xfId="0" applyNumberFormat="1" applyFont="1" applyBorder="1" applyAlignment="1">
      <alignment horizontal="center"/>
    </xf>
    <xf numFmtId="177" fontId="2" fillId="0" borderId="18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right"/>
    </xf>
    <xf numFmtId="177" fontId="2" fillId="0" borderId="14" xfId="0" applyNumberFormat="1" applyFont="1" applyBorder="1"/>
    <xf numFmtId="177" fontId="2" fillId="0" borderId="15" xfId="0" applyNumberFormat="1" applyFont="1" applyBorder="1"/>
    <xf numFmtId="10" fontId="4" fillId="0" borderId="14" xfId="0" applyNumberFormat="1" applyFont="1" applyBorder="1" applyAlignment="1">
      <alignment horizontal="center"/>
    </xf>
    <xf numFmtId="10" fontId="4" fillId="0" borderId="15" xfId="0" applyNumberFormat="1" applyFont="1" applyBorder="1" applyAlignment="1">
      <alignment horizontal="center"/>
    </xf>
    <xf numFmtId="177" fontId="4" fillId="0" borderId="0" xfId="0" applyNumberFormat="1" applyFont="1" applyAlignment="1">
      <alignment horizontal="right"/>
    </xf>
    <xf numFmtId="177" fontId="4" fillId="0" borderId="14" xfId="0" applyNumberFormat="1" applyFont="1" applyBorder="1" applyAlignment="1">
      <alignment horizontal="center"/>
    </xf>
    <xf numFmtId="177" fontId="4" fillId="0" borderId="15" xfId="0" applyNumberFormat="1" applyFont="1" applyBorder="1" applyAlignment="1">
      <alignment horizontal="center"/>
    </xf>
    <xf numFmtId="177" fontId="5" fillId="0" borderId="0" xfId="0" applyNumberFormat="1" applyFont="1" applyAlignment="1">
      <alignment horizontal="right"/>
    </xf>
    <xf numFmtId="176" fontId="2" fillId="0" borderId="0" xfId="0" applyNumberFormat="1" applyFont="1"/>
    <xf numFmtId="177" fontId="4" fillId="0" borderId="17" xfId="0" applyNumberFormat="1" applyFont="1" applyBorder="1" applyAlignment="1">
      <alignment horizontal="center"/>
    </xf>
    <xf numFmtId="177" fontId="4" fillId="0" borderId="18" xfId="0" applyNumberFormat="1" applyFont="1" applyBorder="1" applyAlignment="1">
      <alignment horizontal="center"/>
    </xf>
    <xf numFmtId="14" fontId="7" fillId="0" borderId="8" xfId="0" applyNumberFormat="1" applyFont="1" applyBorder="1"/>
    <xf numFmtId="171" fontId="10" fillId="0" borderId="8" xfId="0" applyNumberFormat="1" applyFont="1" applyBorder="1"/>
    <xf numFmtId="171" fontId="10" fillId="0" borderId="5" xfId="0" applyNumberFormat="1" applyFont="1" applyBorder="1"/>
    <xf numFmtId="172" fontId="6" fillId="0" borderId="8" xfId="0" applyNumberFormat="1" applyFont="1" applyBorder="1"/>
    <xf numFmtId="0" fontId="6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3" fontId="5" fillId="0" borderId="0" xfId="0" applyNumberFormat="1" applyFont="1"/>
    <xf numFmtId="37" fontId="4" fillId="0" borderId="0" xfId="0" applyNumberFormat="1" applyFont="1" applyAlignment="1">
      <alignment horizontal="right"/>
    </xf>
    <xf numFmtId="0" fontId="2" fillId="0" borderId="19" xfId="0" quotePrefix="1" applyFont="1" applyBorder="1" applyAlignment="1">
      <alignment horizontal="left"/>
    </xf>
    <xf numFmtId="37" fontId="4" fillId="0" borderId="19" xfId="0" applyNumberFormat="1" applyFont="1" applyBorder="1"/>
    <xf numFmtId="174" fontId="5" fillId="0" borderId="19" xfId="0" applyNumberFormat="1" applyFont="1" applyBorder="1"/>
    <xf numFmtId="174" fontId="5" fillId="0" borderId="20" xfId="0" applyNumberFormat="1" applyFont="1" applyBorder="1"/>
    <xf numFmtId="37" fontId="4" fillId="0" borderId="19" xfId="0" applyNumberFormat="1" applyFont="1" applyBorder="1" applyAlignment="1">
      <alignment horizontal="right"/>
    </xf>
    <xf numFmtId="37" fontId="6" fillId="0" borderId="0" xfId="0" applyNumberFormat="1" applyFont="1"/>
    <xf numFmtId="37" fontId="6" fillId="0" borderId="7" xfId="0" applyNumberFormat="1" applyFont="1" applyBorder="1"/>
    <xf numFmtId="37" fontId="6" fillId="0" borderId="0" xfId="0" applyNumberFormat="1" applyFont="1" applyAlignment="1">
      <alignment horizontal="right"/>
    </xf>
    <xf numFmtId="0" fontId="14" fillId="0" borderId="0" xfId="0" applyFont="1"/>
    <xf numFmtId="176" fontId="2" fillId="0" borderId="7" xfId="0" applyNumberFormat="1" applyFont="1" applyBorder="1"/>
    <xf numFmtId="176" fontId="2" fillId="0" borderId="0" xfId="0" applyNumberFormat="1" applyFont="1" applyAlignment="1">
      <alignment horizontal="right"/>
    </xf>
    <xf numFmtId="169" fontId="2" fillId="0" borderId="0" xfId="0" applyNumberFormat="1" applyFont="1"/>
    <xf numFmtId="176" fontId="4" fillId="0" borderId="0" xfId="0" applyNumberFormat="1" applyFont="1" applyAlignment="1">
      <alignment horizontal="right"/>
    </xf>
    <xf numFmtId="0" fontId="6" fillId="0" borderId="21" xfId="0" applyFont="1" applyBorder="1"/>
    <xf numFmtId="0" fontId="2" fillId="0" borderId="21" xfId="0" applyFont="1" applyBorder="1"/>
    <xf numFmtId="0" fontId="2" fillId="0" borderId="22" xfId="0" applyFont="1" applyBorder="1"/>
    <xf numFmtId="37" fontId="2" fillId="0" borderId="21" xfId="0" applyNumberFormat="1" applyFont="1" applyBorder="1" applyAlignment="1">
      <alignment horizontal="right"/>
    </xf>
    <xf numFmtId="0" fontId="2" fillId="0" borderId="23" xfId="0" applyFont="1" applyBorder="1"/>
    <xf numFmtId="3" fontId="2" fillId="0" borderId="23" xfId="0" applyNumberFormat="1" applyFont="1" applyBorder="1"/>
    <xf numFmtId="3" fontId="2" fillId="0" borderId="24" xfId="0" applyNumberFormat="1" applyFont="1" applyBorder="1"/>
    <xf numFmtId="10" fontId="7" fillId="0" borderId="0" xfId="0" applyNumberFormat="1" applyFont="1"/>
    <xf numFmtId="10" fontId="7" fillId="0" borderId="7" xfId="0" applyNumberFormat="1" applyFont="1" applyBorder="1"/>
    <xf numFmtId="10" fontId="2" fillId="0" borderId="0" xfId="0" applyNumberFormat="1" applyFont="1"/>
    <xf numFmtId="174" fontId="6" fillId="0" borderId="0" xfId="0" applyNumberFormat="1" applyFont="1"/>
    <xf numFmtId="174" fontId="6" fillId="0" borderId="7" xfId="0" applyNumberFormat="1" applyFont="1" applyBorder="1"/>
    <xf numFmtId="166" fontId="2" fillId="0" borderId="0" xfId="0" applyNumberFormat="1" applyFont="1"/>
    <xf numFmtId="166" fontId="2" fillId="0" borderId="7" xfId="0" applyNumberFormat="1" applyFont="1" applyBorder="1"/>
    <xf numFmtId="166" fontId="6" fillId="0" borderId="0" xfId="0" applyNumberFormat="1" applyFont="1"/>
    <xf numFmtId="166" fontId="6" fillId="0" borderId="7" xfId="0" applyNumberFormat="1" applyFont="1" applyBorder="1"/>
    <xf numFmtId="10" fontId="2" fillId="0" borderId="7" xfId="0" applyNumberFormat="1" applyFont="1" applyBorder="1"/>
    <xf numFmtId="37" fontId="6" fillId="0" borderId="21" xfId="0" applyNumberFormat="1" applyFont="1" applyBorder="1" applyAlignment="1">
      <alignment horizontal="left"/>
    </xf>
    <xf numFmtId="37" fontId="6" fillId="0" borderId="21" xfId="0" applyNumberFormat="1" applyFont="1" applyBorder="1"/>
    <xf numFmtId="37" fontId="6" fillId="0" borderId="22" xfId="0" applyNumberFormat="1" applyFont="1" applyBorder="1"/>
    <xf numFmtId="0" fontId="2" fillId="0" borderId="21" xfId="0" applyFont="1" applyBorder="1" applyAlignment="1">
      <alignment horizontal="right"/>
    </xf>
    <xf numFmtId="174" fontId="2" fillId="0" borderId="7" xfId="0" applyNumberFormat="1" applyFont="1" applyBorder="1"/>
    <xf numFmtId="0" fontId="4" fillId="0" borderId="0" xfId="0" applyFont="1" applyAlignment="1">
      <alignment horizontal="left"/>
    </xf>
    <xf numFmtId="0" fontId="2" fillId="0" borderId="19" xfId="0" applyFont="1" applyBorder="1" applyAlignment="1">
      <alignment horizontal="left"/>
    </xf>
    <xf numFmtId="174" fontId="4" fillId="0" borderId="19" xfId="0" applyNumberFormat="1" applyFont="1" applyBorder="1"/>
    <xf numFmtId="174" fontId="4" fillId="0" borderId="20" xfId="0" applyNumberFormat="1" applyFont="1" applyBorder="1"/>
    <xf numFmtId="174" fontId="2" fillId="0" borderId="19" xfId="0" applyNumberFormat="1" applyFont="1" applyBorder="1" applyAlignment="1">
      <alignment horizontal="right"/>
    </xf>
    <xf numFmtId="37" fontId="10" fillId="0" borderId="7" xfId="0" applyNumberFormat="1" applyFont="1" applyBorder="1"/>
    <xf numFmtId="3" fontId="6" fillId="0" borderId="0" xfId="0" applyNumberFormat="1" applyFont="1"/>
    <xf numFmtId="3" fontId="6" fillId="0" borderId="7" xfId="0" applyNumberFormat="1" applyFont="1" applyBorder="1"/>
    <xf numFmtId="176" fontId="2" fillId="0" borderId="21" xfId="0" applyNumberFormat="1" applyFont="1" applyBorder="1"/>
    <xf numFmtId="176" fontId="2" fillId="0" borderId="22" xfId="0" applyNumberFormat="1" applyFont="1" applyBorder="1"/>
    <xf numFmtId="9" fontId="5" fillId="0" borderId="21" xfId="0" applyNumberFormat="1" applyFont="1" applyBorder="1" applyAlignment="1">
      <alignment horizontal="right"/>
    </xf>
    <xf numFmtId="3" fontId="15" fillId="0" borderId="0" xfId="0" applyNumberFormat="1" applyFont="1"/>
    <xf numFmtId="37" fontId="2" fillId="0" borderId="8" xfId="0" applyNumberFormat="1" applyFont="1" applyBorder="1" applyAlignment="1">
      <alignment horizontal="right"/>
    </xf>
    <xf numFmtId="0" fontId="16" fillId="0" borderId="0" xfId="0" applyFont="1" applyAlignment="1">
      <alignment horizontal="left"/>
    </xf>
    <xf numFmtId="37" fontId="5" fillId="0" borderId="0" xfId="0" applyNumberFormat="1" applyFont="1" applyAlignment="1">
      <alignment horizontal="right"/>
    </xf>
    <xf numFmtId="37" fontId="5" fillId="0" borderId="7" xfId="0" applyNumberFormat="1" applyFont="1" applyBorder="1" applyAlignment="1">
      <alignment horizontal="right"/>
    </xf>
    <xf numFmtId="37" fontId="2" fillId="0" borderId="7" xfId="0" applyNumberFormat="1" applyFont="1" applyBorder="1" applyAlignment="1">
      <alignment horizontal="right"/>
    </xf>
    <xf numFmtId="178" fontId="2" fillId="0" borderId="0" xfId="0" applyNumberFormat="1" applyFont="1"/>
    <xf numFmtId="178" fontId="2" fillId="0" borderId="7" xfId="0" applyNumberFormat="1" applyFont="1" applyBorder="1"/>
    <xf numFmtId="178" fontId="2" fillId="0" borderId="0" xfId="0" applyNumberFormat="1" applyFont="1" applyAlignment="1">
      <alignment horizontal="right"/>
    </xf>
    <xf numFmtId="177" fontId="4" fillId="0" borderId="0" xfId="0" applyNumberFormat="1" applyFont="1"/>
    <xf numFmtId="177" fontId="4" fillId="0" borderId="7" xfId="0" applyNumberFormat="1" applyFont="1" applyBorder="1"/>
    <xf numFmtId="179" fontId="4" fillId="0" borderId="0" xfId="0" applyNumberFormat="1" applyFont="1" applyAlignment="1">
      <alignment horizontal="right"/>
    </xf>
    <xf numFmtId="37" fontId="10" fillId="0" borderId="0" xfId="0" applyNumberFormat="1" applyFont="1" applyAlignment="1">
      <alignment horizontal="right"/>
    </xf>
    <xf numFmtId="37" fontId="4" fillId="0" borderId="0" xfId="0" applyNumberFormat="1" applyFont="1" applyAlignment="1">
      <alignment horizontal="left"/>
    </xf>
    <xf numFmtId="0" fontId="6" fillId="0" borderId="6" xfId="0" applyFont="1" applyBorder="1"/>
    <xf numFmtId="175" fontId="10" fillId="0" borderId="7" xfId="0" applyNumberFormat="1" applyFont="1" applyBorder="1"/>
    <xf numFmtId="176" fontId="5" fillId="0" borderId="7" xfId="0" applyNumberFormat="1" applyFont="1" applyBorder="1"/>
    <xf numFmtId="176" fontId="5" fillId="0" borderId="0" xfId="0" applyNumberFormat="1" applyFont="1" applyAlignment="1">
      <alignment horizontal="right"/>
    </xf>
    <xf numFmtId="37" fontId="5" fillId="0" borderId="0" xfId="0" applyNumberFormat="1" applyFont="1"/>
    <xf numFmtId="37" fontId="5" fillId="0" borderId="7" xfId="0" applyNumberFormat="1" applyFont="1" applyBorder="1"/>
    <xf numFmtId="164" fontId="10" fillId="0" borderId="0" xfId="0" applyNumberFormat="1" applyFont="1"/>
    <xf numFmtId="164" fontId="10" fillId="0" borderId="7" xfId="0" applyNumberFormat="1" applyFont="1" applyBorder="1"/>
    <xf numFmtId="164" fontId="10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17" fillId="0" borderId="0" xfId="0" applyFont="1"/>
    <xf numFmtId="0" fontId="2" fillId="0" borderId="7" xfId="0" applyFont="1" applyBorder="1" applyAlignment="1">
      <alignment horizontal="right"/>
    </xf>
    <xf numFmtId="37" fontId="6" fillId="0" borderId="25" xfId="0" applyNumberFormat="1" applyFont="1" applyBorder="1" applyAlignment="1">
      <alignment horizontal="right"/>
    </xf>
    <xf numFmtId="0" fontId="6" fillId="0" borderId="7" xfId="0" applyFont="1" applyBorder="1"/>
    <xf numFmtId="4" fontId="18" fillId="0" borderId="0" xfId="0" applyNumberFormat="1" applyFont="1"/>
    <xf numFmtId="180" fontId="2" fillId="0" borderId="0" xfId="0" applyNumberFormat="1" applyFont="1"/>
    <xf numFmtId="171" fontId="6" fillId="0" borderId="8" xfId="0" applyNumberFormat="1" applyFont="1" applyBorder="1"/>
    <xf numFmtId="3" fontId="4" fillId="0" borderId="0" xfId="0" applyNumberFormat="1" applyFont="1"/>
    <xf numFmtId="9" fontId="2" fillId="0" borderId="0" xfId="0" applyNumberFormat="1" applyFont="1"/>
    <xf numFmtId="0" fontId="10" fillId="0" borderId="26" xfId="0" applyFont="1" applyBorder="1"/>
    <xf numFmtId="0" fontId="4" fillId="0" borderId="26" xfId="0" applyFont="1" applyBorder="1"/>
    <xf numFmtId="0" fontId="1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4" fillId="4" borderId="27" xfId="0" applyFont="1" applyFill="1" applyBorder="1"/>
    <xf numFmtId="0" fontId="21" fillId="0" borderId="0" xfId="0" applyFont="1"/>
    <xf numFmtId="10" fontId="5" fillId="4" borderId="27" xfId="0" applyNumberFormat="1" applyFont="1" applyFill="1" applyBorder="1"/>
    <xf numFmtId="0" fontId="22" fillId="0" borderId="0" xfId="0" applyFont="1"/>
    <xf numFmtId="10" fontId="23" fillId="4" borderId="27" xfId="0" applyNumberFormat="1" applyFont="1" applyFill="1" applyBorder="1"/>
    <xf numFmtId="10" fontId="4" fillId="4" borderId="27" xfId="0" applyNumberFormat="1" applyFont="1" applyFill="1" applyBorder="1"/>
    <xf numFmtId="0" fontId="24" fillId="0" borderId="0" xfId="0" applyFont="1"/>
    <xf numFmtId="2" fontId="5" fillId="4" borderId="27" xfId="0" applyNumberFormat="1" applyFont="1" applyFill="1" applyBorder="1"/>
    <xf numFmtId="0" fontId="10" fillId="0" borderId="4" xfId="0" applyFont="1" applyBorder="1"/>
    <xf numFmtId="0" fontId="4" fillId="0" borderId="4" xfId="0" applyFont="1" applyBorder="1"/>
    <xf numFmtId="0" fontId="4" fillId="0" borderId="0" xfId="0" applyFont="1" applyAlignment="1">
      <alignment horizontal="right"/>
    </xf>
    <xf numFmtId="0" fontId="4" fillId="0" borderId="4" xfId="0" applyFont="1" applyBorder="1" applyAlignment="1">
      <alignment horizontal="right"/>
    </xf>
    <xf numFmtId="165" fontId="23" fillId="4" borderId="27" xfId="0" applyNumberFormat="1" applyFont="1" applyFill="1" applyBorder="1"/>
    <xf numFmtId="0" fontId="5" fillId="4" borderId="27" xfId="0" applyFont="1" applyFill="1" applyBorder="1"/>
    <xf numFmtId="173" fontId="4" fillId="4" borderId="27" xfId="0" applyNumberFormat="1" applyFont="1" applyFill="1" applyBorder="1"/>
    <xf numFmtId="3" fontId="23" fillId="4" borderId="27" xfId="0" applyNumberFormat="1" applyFont="1" applyFill="1" applyBorder="1"/>
    <xf numFmtId="0" fontId="10" fillId="0" borderId="28" xfId="0" applyFont="1" applyBorder="1"/>
    <xf numFmtId="0" fontId="10" fillId="4" borderId="29" xfId="0" applyFont="1" applyFill="1" applyBorder="1"/>
    <xf numFmtId="0" fontId="4" fillId="4" borderId="29" xfId="0" applyFont="1" applyFill="1" applyBorder="1"/>
    <xf numFmtId="10" fontId="10" fillId="4" borderId="30" xfId="0" applyNumberFormat="1" applyFont="1" applyFill="1" applyBorder="1"/>
    <xf numFmtId="0" fontId="25" fillId="0" borderId="0" xfId="0" applyFont="1"/>
    <xf numFmtId="14" fontId="4" fillId="0" borderId="0" xfId="0" applyNumberFormat="1" applyFont="1" applyAlignment="1">
      <alignment horizontal="right"/>
    </xf>
    <xf numFmtId="181" fontId="4" fillId="0" borderId="0" xfId="0" applyNumberFormat="1" applyFont="1" applyAlignment="1">
      <alignment horizontal="right"/>
    </xf>
    <xf numFmtId="10" fontId="23" fillId="0" borderId="0" xfId="0" applyNumberFormat="1" applyFont="1"/>
    <xf numFmtId="14" fontId="5" fillId="0" borderId="0" xfId="0" applyNumberFormat="1" applyFont="1" applyAlignment="1">
      <alignment horizontal="right"/>
    </xf>
    <xf numFmtId="0" fontId="27" fillId="0" borderId="0" xfId="0" applyFont="1"/>
    <xf numFmtId="4" fontId="5" fillId="0" borderId="0" xfId="0" applyNumberFormat="1" applyFont="1"/>
    <xf numFmtId="10" fontId="4" fillId="0" borderId="0" xfId="0" applyNumberFormat="1" applyFont="1" applyAlignment="1">
      <alignment horizontal="right"/>
    </xf>
    <xf numFmtId="181" fontId="2" fillId="0" borderId="0" xfId="0" applyNumberFormat="1" applyFont="1"/>
    <xf numFmtId="181" fontId="10" fillId="5" borderId="3" xfId="0" applyNumberFormat="1" applyFont="1" applyFill="1" applyBorder="1" applyAlignment="1">
      <alignment horizontal="right"/>
    </xf>
    <xf numFmtId="0" fontId="23" fillId="0" borderId="0" xfId="0" applyFont="1" applyAlignment="1">
      <alignment horizontal="right"/>
    </xf>
    <xf numFmtId="0" fontId="4" fillId="0" borderId="8" xfId="0" applyFont="1" applyBorder="1" applyAlignment="1">
      <alignment horizontal="center"/>
    </xf>
    <xf numFmtId="171" fontId="6" fillId="0" borderId="5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70" fontId="3" fillId="0" borderId="6" xfId="0" applyNumberFormat="1" applyFont="1" applyBorder="1" applyAlignment="1">
      <alignment horizontal="center"/>
    </xf>
    <xf numFmtId="170" fontId="3" fillId="0" borderId="4" xfId="0" applyNumberFormat="1" applyFont="1" applyBorder="1" applyAlignment="1">
      <alignment horizontal="center"/>
    </xf>
    <xf numFmtId="0" fontId="3" fillId="0" borderId="0" xfId="0" applyFont="1"/>
    <xf numFmtId="0" fontId="10" fillId="0" borderId="7" xfId="0" applyFont="1" applyBorder="1"/>
    <xf numFmtId="3" fontId="4" fillId="0" borderId="7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0" fontId="28" fillId="0" borderId="0" xfId="0" applyFont="1" applyAlignment="1">
      <alignment horizontal="left"/>
    </xf>
    <xf numFmtId="0" fontId="28" fillId="0" borderId="0" xfId="0" applyFont="1"/>
    <xf numFmtId="0" fontId="28" fillId="0" borderId="7" xfId="0" applyFont="1" applyBorder="1"/>
    <xf numFmtId="10" fontId="28" fillId="0" borderId="0" xfId="0" applyNumberFormat="1" applyFont="1" applyAlignment="1">
      <alignment horizontal="right"/>
    </xf>
    <xf numFmtId="10" fontId="28" fillId="0" borderId="7" xfId="0" applyNumberFormat="1" applyFont="1" applyBorder="1" applyAlignment="1">
      <alignment horizontal="right"/>
    </xf>
    <xf numFmtId="0" fontId="4" fillId="0" borderId="0" xfId="0" quotePrefix="1" applyFont="1"/>
    <xf numFmtId="0" fontId="4" fillId="0" borderId="0" xfId="0" quotePrefix="1" applyFont="1" applyAlignment="1">
      <alignment horizontal="left"/>
    </xf>
    <xf numFmtId="10" fontId="29" fillId="0" borderId="7" xfId="0" applyNumberFormat="1" applyFont="1" applyBorder="1" applyAlignment="1">
      <alignment horizontal="right"/>
    </xf>
    <xf numFmtId="10" fontId="29" fillId="0" borderId="0" xfId="0" applyNumberFormat="1" applyFont="1" applyAlignment="1">
      <alignment horizontal="right"/>
    </xf>
    <xf numFmtId="0" fontId="10" fillId="0" borderId="31" xfId="0" applyFont="1" applyBorder="1"/>
    <xf numFmtId="3" fontId="10" fillId="0" borderId="32" xfId="0" applyNumberFormat="1" applyFont="1" applyBorder="1"/>
    <xf numFmtId="3" fontId="10" fillId="0" borderId="31" xfId="0" applyNumberFormat="1" applyFont="1" applyBorder="1"/>
    <xf numFmtId="0" fontId="23" fillId="0" borderId="0" xfId="0" applyFont="1"/>
    <xf numFmtId="0" fontId="30" fillId="0" borderId="4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0" fontId="4" fillId="0" borderId="0" xfId="0" applyNumberFormat="1" applyFont="1" applyAlignment="1">
      <alignment horizontal="center"/>
    </xf>
    <xf numFmtId="174" fontId="4" fillId="0" borderId="0" xfId="0" applyNumberFormat="1" applyFont="1" applyAlignment="1">
      <alignment horizontal="right"/>
    </xf>
    <xf numFmtId="10" fontId="5" fillId="6" borderId="33" xfId="0" applyNumberFormat="1" applyFont="1" applyFill="1" applyBorder="1" applyAlignment="1">
      <alignment horizontal="right"/>
    </xf>
    <xf numFmtId="171" fontId="6" fillId="0" borderId="8" xfId="0" applyNumberFormat="1" applyFont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3" fontId="10" fillId="0" borderId="0" xfId="0" applyNumberFormat="1" applyFont="1" applyAlignment="1">
      <alignment horizontal="right"/>
    </xf>
    <xf numFmtId="10" fontId="10" fillId="0" borderId="0" xfId="0" applyNumberFormat="1" applyFont="1" applyAlignment="1">
      <alignment horizontal="right"/>
    </xf>
    <xf numFmtId="0" fontId="31" fillId="0" borderId="0" xfId="0" applyFont="1"/>
    <xf numFmtId="10" fontId="3" fillId="0" borderId="0" xfId="0" applyNumberFormat="1" applyFont="1" applyAlignment="1">
      <alignment horizontal="right"/>
    </xf>
    <xf numFmtId="175" fontId="6" fillId="0" borderId="8" xfId="0" applyNumberFormat="1" applyFont="1" applyBorder="1" applyAlignment="1">
      <alignment horizontal="center"/>
    </xf>
    <xf numFmtId="3" fontId="10" fillId="0" borderId="0" xfId="0" applyNumberFormat="1" applyFont="1"/>
    <xf numFmtId="0" fontId="32" fillId="0" borderId="0" xfId="0" applyFont="1" applyAlignment="1">
      <alignment horizontal="center"/>
    </xf>
    <xf numFmtId="173" fontId="2" fillId="7" borderId="29" xfId="0" applyNumberFormat="1" applyFont="1" applyFill="1" applyBorder="1" applyAlignment="1">
      <alignment horizontal="right"/>
    </xf>
    <xf numFmtId="173" fontId="5" fillId="7" borderId="29" xfId="0" applyNumberFormat="1" applyFont="1" applyFill="1" applyBorder="1" applyAlignment="1">
      <alignment horizontal="right"/>
    </xf>
    <xf numFmtId="173" fontId="2" fillId="7" borderId="35" xfId="0" applyNumberFormat="1" applyFont="1" applyFill="1" applyBorder="1" applyAlignment="1">
      <alignment horizontal="right"/>
    </xf>
    <xf numFmtId="182" fontId="2" fillId="0" borderId="0" xfId="0" applyNumberFormat="1" applyFont="1" applyAlignment="1">
      <alignment horizontal="right"/>
    </xf>
    <xf numFmtId="173" fontId="5" fillId="7" borderId="35" xfId="0" applyNumberFormat="1" applyFont="1" applyFill="1" applyBorder="1" applyAlignment="1">
      <alignment horizontal="right"/>
    </xf>
    <xf numFmtId="0" fontId="10" fillId="8" borderId="31" xfId="0" applyFont="1" applyFill="1" applyBorder="1"/>
    <xf numFmtId="181" fontId="10" fillId="8" borderId="31" xfId="0" applyNumberFormat="1" applyFont="1" applyFill="1" applyBorder="1" applyAlignment="1">
      <alignment horizontal="right"/>
    </xf>
    <xf numFmtId="0" fontId="34" fillId="0" borderId="0" xfId="0" applyFont="1" applyAlignment="1">
      <alignment horizontal="right"/>
    </xf>
    <xf numFmtId="181" fontId="2" fillId="0" borderId="34" xfId="1" applyNumberFormat="1" applyFont="1" applyBorder="1" applyAlignment="1">
      <alignment horizontal="right"/>
    </xf>
    <xf numFmtId="182" fontId="2" fillId="9" borderId="0" xfId="0" applyNumberFormat="1" applyFont="1" applyFill="1" applyAlignment="1">
      <alignment horizontal="right"/>
    </xf>
    <xf numFmtId="182" fontId="2" fillId="10" borderId="0" xfId="0" applyNumberFormat="1" applyFont="1" applyFill="1" applyAlignment="1">
      <alignment horizontal="right"/>
    </xf>
    <xf numFmtId="173" fontId="2" fillId="7" borderId="36" xfId="0" applyNumberFormat="1" applyFont="1" applyFill="1" applyBorder="1" applyAlignment="1">
      <alignment horizontal="right"/>
    </xf>
    <xf numFmtId="0" fontId="0" fillId="0" borderId="27" xfId="0" applyBorder="1"/>
    <xf numFmtId="0" fontId="4" fillId="0" borderId="27" xfId="0" applyFont="1" applyBorder="1"/>
    <xf numFmtId="182" fontId="2" fillId="0" borderId="37" xfId="0" applyNumberFormat="1" applyFont="1" applyBorder="1" applyAlignment="1">
      <alignment horizontal="right"/>
    </xf>
    <xf numFmtId="182" fontId="2" fillId="0" borderId="38" xfId="0" applyNumberFormat="1" applyFont="1" applyBorder="1" applyAlignment="1">
      <alignment horizontal="right"/>
    </xf>
    <xf numFmtId="182" fontId="2" fillId="0" borderId="39" xfId="0" applyNumberFormat="1" applyFont="1" applyBorder="1" applyAlignment="1">
      <alignment horizontal="right"/>
    </xf>
    <xf numFmtId="182" fontId="2" fillId="0" borderId="40" xfId="0" applyNumberFormat="1" applyFont="1" applyBorder="1" applyAlignment="1">
      <alignment horizontal="right"/>
    </xf>
    <xf numFmtId="182" fontId="2" fillId="0" borderId="41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/>
    <xf numFmtId="0" fontId="4" fillId="0" borderId="0" xfId="0" applyFont="1"/>
    <xf numFmtId="0" fontId="3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6" fillId="0" borderId="0" xfId="0" applyFont="1"/>
  </cellXfs>
  <cellStyles count="2">
    <cellStyle name="Currency" xfId="1" builtinId="4"/>
    <cellStyle name="Normal" xfId="0" builtinId="0"/>
  </cellStyles>
  <dxfs count="2">
    <dxf>
      <fill>
        <patternFill patternType="solid">
          <fgColor theme="8"/>
          <bgColor theme="8"/>
        </patternFill>
      </fill>
      <border>
        <top style="thin">
          <color rgb="FF9C0006"/>
        </top>
        <bottom style="thin">
          <color rgb="FF9C0006"/>
        </bottom>
      </border>
    </dxf>
    <dxf>
      <fill>
        <patternFill patternType="solid">
          <fgColor theme="8"/>
          <bgColor theme="8"/>
        </patternFill>
      </fill>
      <border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</xdr:colOff>
      <xdr:row>0</xdr:row>
      <xdr:rowOff>0</xdr:rowOff>
    </xdr:from>
    <xdr:ext cx="3524250" cy="49911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red.stlouisfed.org/series/DGS3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019"/>
  <sheetViews>
    <sheetView showGridLines="0" workbookViewId="0">
      <selection activeCell="D13" sqref="D13"/>
    </sheetView>
  </sheetViews>
  <sheetFormatPr defaultColWidth="14.44140625" defaultRowHeight="15" customHeight="1" x14ac:dyDescent="0.3"/>
  <cols>
    <col min="1" max="2" width="1.77734375" customWidth="1"/>
    <col min="3" max="3" width="46.77734375" customWidth="1"/>
    <col min="4" max="4" width="12.44140625" customWidth="1"/>
    <col min="5" max="18" width="11.44140625" customWidth="1"/>
    <col min="19" max="19" width="3.21875" customWidth="1"/>
  </cols>
  <sheetData>
    <row r="1" spans="2:18" ht="14.25" customHeight="1" x14ac:dyDescent="0.3"/>
    <row r="2" spans="2:18" ht="18.75" customHeight="1" x14ac:dyDescent="0.4">
      <c r="C2" s="1" t="str">
        <f>"Financial Statement Model for "&amp;D5</f>
        <v>Financial Statement Model for Amazon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ht="14.25" customHeight="1" x14ac:dyDescent="0.3">
      <c r="C3" s="3" t="s">
        <v>0</v>
      </c>
      <c r="D3" s="4"/>
      <c r="E3" s="4"/>
      <c r="F3" s="4"/>
      <c r="G3" s="4"/>
      <c r="H3" s="4"/>
      <c r="I3" s="4"/>
    </row>
    <row r="4" spans="2:18" ht="14.25" customHeight="1" x14ac:dyDescent="0.3"/>
    <row r="5" spans="2:18" ht="14.25" customHeight="1" x14ac:dyDescent="0.3">
      <c r="C5" s="5" t="s">
        <v>1</v>
      </c>
      <c r="D5" s="6" t="s">
        <v>2</v>
      </c>
    </row>
    <row r="6" spans="2:18" ht="14.25" customHeight="1" x14ac:dyDescent="0.3">
      <c r="C6" s="5" t="s">
        <v>3</v>
      </c>
      <c r="D6" s="6" t="s">
        <v>4</v>
      </c>
    </row>
    <row r="7" spans="2:18" ht="14.25" customHeight="1" x14ac:dyDescent="0.3">
      <c r="C7" s="7" t="s">
        <v>5</v>
      </c>
      <c r="D7" s="8">
        <v>0</v>
      </c>
    </row>
    <row r="8" spans="2:18" ht="14.25" customHeight="1" x14ac:dyDescent="0.3">
      <c r="C8" s="7" t="s">
        <v>6</v>
      </c>
      <c r="D8" s="9">
        <v>148.84</v>
      </c>
      <c r="M8" s="7"/>
    </row>
    <row r="9" spans="2:18" ht="14.25" customHeight="1" x14ac:dyDescent="0.3">
      <c r="C9" s="7" t="s">
        <v>7</v>
      </c>
      <c r="D9" s="10">
        <v>45273</v>
      </c>
      <c r="M9" s="7"/>
    </row>
    <row r="10" spans="2:18" ht="14.25" customHeight="1" x14ac:dyDescent="0.3">
      <c r="C10" s="5" t="s">
        <v>8</v>
      </c>
      <c r="D10" s="10">
        <v>44926</v>
      </c>
    </row>
    <row r="11" spans="2:18" ht="14.25" customHeight="1" x14ac:dyDescent="0.3">
      <c r="C11" s="5" t="s">
        <v>9</v>
      </c>
      <c r="D11" s="10">
        <v>45273</v>
      </c>
    </row>
    <row r="12" spans="2:18" ht="15" customHeight="1" x14ac:dyDescent="0.3">
      <c r="C12" s="7" t="s">
        <v>10</v>
      </c>
      <c r="D12" s="11">
        <v>10322</v>
      </c>
    </row>
    <row r="13" spans="2:18" ht="14.25" customHeight="1" x14ac:dyDescent="0.3">
      <c r="C13" s="7" t="s">
        <v>11</v>
      </c>
      <c r="D13" s="8" t="s">
        <v>127</v>
      </c>
    </row>
    <row r="14" spans="2:18" ht="14.25" customHeight="1" x14ac:dyDescent="0.3">
      <c r="C14" s="7"/>
    </row>
    <row r="15" spans="2:18" ht="14.25" customHeight="1" x14ac:dyDescent="0.3">
      <c r="B15" s="7" t="s">
        <v>13</v>
      </c>
      <c r="C15" s="12" t="s">
        <v>14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2:18" ht="14.25" customHeight="1" x14ac:dyDescent="0.3">
      <c r="C16" s="7" t="s">
        <v>15</v>
      </c>
      <c r="D16" s="14">
        <f t="shared" ref="D16:G16" si="0">E16-1</f>
        <v>2018</v>
      </c>
      <c r="E16" s="14">
        <f t="shared" si="0"/>
        <v>2019</v>
      </c>
      <c r="F16" s="14">
        <f t="shared" si="0"/>
        <v>2020</v>
      </c>
      <c r="G16" s="14">
        <f t="shared" si="0"/>
        <v>2021</v>
      </c>
      <c r="H16" s="15">
        <f>YEAR(D10)</f>
        <v>2022</v>
      </c>
      <c r="I16" s="16">
        <f t="shared" ref="I16:R16" si="1">H16+1</f>
        <v>2023</v>
      </c>
      <c r="J16" s="16">
        <f t="shared" si="1"/>
        <v>2024</v>
      </c>
      <c r="K16" s="16">
        <f t="shared" si="1"/>
        <v>2025</v>
      </c>
      <c r="L16" s="16">
        <f t="shared" si="1"/>
        <v>2026</v>
      </c>
      <c r="M16" s="16">
        <f t="shared" si="1"/>
        <v>2027</v>
      </c>
      <c r="N16" s="16">
        <f t="shared" si="1"/>
        <v>2028</v>
      </c>
      <c r="O16" s="16">
        <f t="shared" si="1"/>
        <v>2029</v>
      </c>
      <c r="P16" s="16">
        <f t="shared" si="1"/>
        <v>2030</v>
      </c>
      <c r="Q16" s="16">
        <f t="shared" si="1"/>
        <v>2031</v>
      </c>
      <c r="R16" s="16">
        <f t="shared" si="1"/>
        <v>2032</v>
      </c>
    </row>
    <row r="17" spans="1:31" ht="14.25" customHeight="1" x14ac:dyDescent="0.3">
      <c r="C17" s="17" t="s">
        <v>16</v>
      </c>
      <c r="D17" s="18">
        <f t="shared" ref="D17:F17" si="2">EOMONTH(E17,-12)</f>
        <v>43465</v>
      </c>
      <c r="E17" s="18">
        <f t="shared" si="2"/>
        <v>43830</v>
      </c>
      <c r="F17" s="18">
        <f t="shared" si="2"/>
        <v>44196</v>
      </c>
      <c r="G17" s="18">
        <v>44561</v>
      </c>
      <c r="H17" s="19">
        <f>D10</f>
        <v>44926</v>
      </c>
      <c r="I17" s="18">
        <f t="shared" ref="I17:R17" si="3">EOMONTH(H17,12)</f>
        <v>45291</v>
      </c>
      <c r="J17" s="18">
        <f t="shared" si="3"/>
        <v>45657</v>
      </c>
      <c r="K17" s="18">
        <f t="shared" si="3"/>
        <v>46022</v>
      </c>
      <c r="L17" s="18">
        <f t="shared" si="3"/>
        <v>46387</v>
      </c>
      <c r="M17" s="18">
        <f t="shared" si="3"/>
        <v>46752</v>
      </c>
      <c r="N17" s="18">
        <f t="shared" si="3"/>
        <v>47118</v>
      </c>
      <c r="O17" s="18">
        <f t="shared" si="3"/>
        <v>47483</v>
      </c>
      <c r="P17" s="18">
        <f t="shared" si="3"/>
        <v>47848</v>
      </c>
      <c r="Q17" s="18">
        <f t="shared" si="3"/>
        <v>48213</v>
      </c>
      <c r="R17" s="18">
        <f t="shared" si="3"/>
        <v>48579</v>
      </c>
    </row>
    <row r="18" spans="1:31" ht="14.25" customHeight="1" x14ac:dyDescent="0.3">
      <c r="C18" s="20"/>
      <c r="D18" s="21"/>
      <c r="E18" s="21"/>
      <c r="F18" s="21"/>
      <c r="G18" s="22"/>
      <c r="H18" s="23"/>
      <c r="I18" s="24"/>
      <c r="J18" s="25"/>
      <c r="K18" s="25"/>
      <c r="L18" s="22"/>
      <c r="M18" s="22"/>
      <c r="N18" s="22"/>
      <c r="O18" s="22"/>
      <c r="P18" s="22"/>
      <c r="Q18" s="22"/>
      <c r="R18" s="22"/>
    </row>
    <row r="19" spans="1:31" ht="14.25" customHeight="1" x14ac:dyDescent="0.3">
      <c r="C19" s="7" t="s">
        <v>17</v>
      </c>
      <c r="D19" s="26">
        <v>141915</v>
      </c>
      <c r="E19" s="26">
        <v>160408</v>
      </c>
      <c r="F19" s="26">
        <v>215915</v>
      </c>
      <c r="G19" s="26">
        <v>241787</v>
      </c>
      <c r="H19" s="27">
        <v>242901</v>
      </c>
      <c r="I19" s="28">
        <f t="shared" ref="I19:R19" ca="1" si="4">I23*I20</f>
        <v>273613.18238405767</v>
      </c>
      <c r="J19" s="28">
        <f t="shared" ca="1" si="4"/>
        <v>331618.75618171238</v>
      </c>
      <c r="K19" s="28">
        <f t="shared" ca="1" si="4"/>
        <v>429967.40658225276</v>
      </c>
      <c r="L19" s="28">
        <f t="shared" ca="1" si="4"/>
        <v>535528.08915944758</v>
      </c>
      <c r="M19" s="28">
        <f t="shared" ca="1" si="4"/>
        <v>639527.95191367436</v>
      </c>
      <c r="N19" s="28">
        <f t="shared" ca="1" si="4"/>
        <v>785763.98701844341</v>
      </c>
      <c r="O19" s="28">
        <f t="shared" ca="1" si="4"/>
        <v>926786.49985468271</v>
      </c>
      <c r="P19" s="28">
        <f t="shared" ca="1" si="4"/>
        <v>1047529.3852795222</v>
      </c>
      <c r="Q19" s="28">
        <f t="shared" ca="1" si="4"/>
        <v>1132474.187518602</v>
      </c>
      <c r="R19" s="28">
        <f t="shared" ca="1" si="4"/>
        <v>1168600.1141004455</v>
      </c>
    </row>
    <row r="20" spans="1:31" ht="14.25" customHeight="1" x14ac:dyDescent="0.3">
      <c r="A20" s="20"/>
      <c r="B20" s="20"/>
      <c r="C20" s="29" t="s">
        <v>18</v>
      </c>
      <c r="D20" s="30">
        <f t="shared" ref="D20:H20" si="5">D19/D$23</f>
        <v>0.60937278594339739</v>
      </c>
      <c r="E20" s="30">
        <f t="shared" si="5"/>
        <v>0.57181967902695685</v>
      </c>
      <c r="F20" s="30">
        <f t="shared" si="5"/>
        <v>0.55927255584566293</v>
      </c>
      <c r="G20" s="30">
        <f t="shared" si="5"/>
        <v>0.51463532997603345</v>
      </c>
      <c r="H20" s="31">
        <f t="shared" si="5"/>
        <v>0.47258566917582878</v>
      </c>
      <c r="I20" s="32">
        <f>Schedules!H$8</f>
        <v>0.44806853534066304</v>
      </c>
      <c r="J20" s="32">
        <f>Schedules!I$8</f>
        <v>0.4235514015054973</v>
      </c>
      <c r="K20" s="32">
        <f>Schedules!J$8</f>
        <v>0.39903426767033157</v>
      </c>
      <c r="L20" s="32">
        <f>Schedules!K$8</f>
        <v>0.37451713383516583</v>
      </c>
      <c r="M20" s="32">
        <f>Schedules!L$8</f>
        <v>0.35000000000000009</v>
      </c>
      <c r="N20" s="32">
        <f>Schedules!M$8</f>
        <v>0.35000000000000009</v>
      </c>
      <c r="O20" s="32">
        <f>Schedules!N$8</f>
        <v>0.35000000000000009</v>
      </c>
      <c r="P20" s="32">
        <f>Schedules!O$8</f>
        <v>0.35000000000000009</v>
      </c>
      <c r="Q20" s="32">
        <f>Schedules!P$8</f>
        <v>0.35000000000000009</v>
      </c>
      <c r="R20" s="32">
        <f>Schedules!Q$8</f>
        <v>0.35000000000000009</v>
      </c>
      <c r="S20" s="20"/>
      <c r="T20" s="20" t="s">
        <v>19</v>
      </c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ht="14.25" customHeight="1" x14ac:dyDescent="0.3">
      <c r="C21" s="7" t="s">
        <v>20</v>
      </c>
      <c r="D21" s="26">
        <v>90972</v>
      </c>
      <c r="E21" s="26">
        <v>120114</v>
      </c>
      <c r="F21" s="26">
        <v>170149</v>
      </c>
      <c r="G21" s="26">
        <v>228035</v>
      </c>
      <c r="H21" s="27">
        <v>271082</v>
      </c>
      <c r="I21" s="28">
        <f t="shared" ref="I21:R21" ca="1" si="6">I23*I22</f>
        <v>337037.11060299992</v>
      </c>
      <c r="J21" s="28">
        <f t="shared" ca="1" si="6"/>
        <v>451329.32285423495</v>
      </c>
      <c r="K21" s="28">
        <f t="shared" ca="1" si="6"/>
        <v>647552.59963805787</v>
      </c>
      <c r="L21" s="28">
        <f t="shared" ca="1" si="6"/>
        <v>894388.03690795589</v>
      </c>
      <c r="M21" s="28">
        <f t="shared" ca="1" si="6"/>
        <v>1187694.7678396807</v>
      </c>
      <c r="N21" s="28">
        <f t="shared" ca="1" si="6"/>
        <v>1459275.9758913943</v>
      </c>
      <c r="O21" s="28">
        <f t="shared" ca="1" si="6"/>
        <v>1721174.928301553</v>
      </c>
      <c r="P21" s="28">
        <f t="shared" ca="1" si="6"/>
        <v>1945411.7155191118</v>
      </c>
      <c r="Q21" s="28">
        <f t="shared" ca="1" si="6"/>
        <v>2103166.3482488315</v>
      </c>
      <c r="R21" s="28">
        <f t="shared" ca="1" si="6"/>
        <v>2170257.3547579693</v>
      </c>
    </row>
    <row r="22" spans="1:31" ht="14.25" customHeight="1" x14ac:dyDescent="0.3">
      <c r="A22" s="7"/>
      <c r="B22" s="7"/>
      <c r="C22" s="29" t="s">
        <v>21</v>
      </c>
      <c r="D22" s="33">
        <f t="shared" ref="D22:H22" si="7">D21/D$23</f>
        <v>0.39062721405660256</v>
      </c>
      <c r="E22" s="33">
        <f t="shared" si="7"/>
        <v>0.42818032097304309</v>
      </c>
      <c r="F22" s="33">
        <f t="shared" si="7"/>
        <v>0.44072744415433712</v>
      </c>
      <c r="G22" s="33">
        <f t="shared" si="7"/>
        <v>0.48536467002396655</v>
      </c>
      <c r="H22" s="34">
        <f t="shared" si="7"/>
        <v>0.52741433082417122</v>
      </c>
      <c r="I22" s="32">
        <f>Schedules!H9</f>
        <v>0.55193146465933696</v>
      </c>
      <c r="J22" s="32">
        <f>Schedules!I9</f>
        <v>0.5764485984945027</v>
      </c>
      <c r="K22" s="32">
        <f>Schedules!J9</f>
        <v>0.60096573232966843</v>
      </c>
      <c r="L22" s="32">
        <f>Schedules!K9</f>
        <v>0.62548286616483417</v>
      </c>
      <c r="M22" s="32">
        <f>Schedules!L9</f>
        <v>0.64999999999999991</v>
      </c>
      <c r="N22" s="32">
        <f>Schedules!M9</f>
        <v>0.64999999999999991</v>
      </c>
      <c r="O22" s="32">
        <f>Schedules!N9</f>
        <v>0.64999999999999991</v>
      </c>
      <c r="P22" s="32">
        <f>Schedules!O9</f>
        <v>0.64999999999999991</v>
      </c>
      <c r="Q22" s="32">
        <f>Schedules!P9</f>
        <v>0.64999999999999991</v>
      </c>
      <c r="R22" s="32">
        <f>Schedules!Q9</f>
        <v>0.64999999999999991</v>
      </c>
      <c r="S22" s="7"/>
      <c r="T22" s="20" t="s">
        <v>22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14.25" customHeight="1" x14ac:dyDescent="0.3">
      <c r="A23" s="35"/>
      <c r="B23" s="35"/>
      <c r="C23" s="36" t="s">
        <v>23</v>
      </c>
      <c r="D23" s="37">
        <f t="shared" ref="D23:H23" si="8">D19+D21</f>
        <v>232887</v>
      </c>
      <c r="E23" s="37">
        <f t="shared" si="8"/>
        <v>280522</v>
      </c>
      <c r="F23" s="37">
        <f t="shared" si="8"/>
        <v>386064</v>
      </c>
      <c r="G23" s="37">
        <f t="shared" si="8"/>
        <v>469822</v>
      </c>
      <c r="H23" s="38">
        <f t="shared" si="8"/>
        <v>513983</v>
      </c>
      <c r="I23" s="39">
        <f t="shared" ref="I23:R23" ca="1" si="9">H23*(1+I24)</f>
        <v>610650.29298705759</v>
      </c>
      <c r="J23" s="39">
        <f t="shared" ca="1" si="9"/>
        <v>782948.07903594733</v>
      </c>
      <c r="K23" s="39">
        <f t="shared" ca="1" si="9"/>
        <v>1077520.0062203107</v>
      </c>
      <c r="L23" s="39">
        <f t="shared" ca="1" si="9"/>
        <v>1429916.1260674035</v>
      </c>
      <c r="M23" s="39">
        <f t="shared" ca="1" si="9"/>
        <v>1827222.719753355</v>
      </c>
      <c r="N23" s="39">
        <f t="shared" ca="1" si="9"/>
        <v>2245039.9629098377</v>
      </c>
      <c r="O23" s="39">
        <f t="shared" ca="1" si="9"/>
        <v>2647961.4281562357</v>
      </c>
      <c r="P23" s="39">
        <f t="shared" ca="1" si="9"/>
        <v>2992941.1007986339</v>
      </c>
      <c r="Q23" s="39">
        <f t="shared" ca="1" si="9"/>
        <v>3235640.5357674337</v>
      </c>
      <c r="R23" s="39">
        <f t="shared" ca="1" si="9"/>
        <v>3338857.4688584148</v>
      </c>
      <c r="S23" s="35"/>
    </row>
    <row r="24" spans="1:31" ht="14.25" customHeight="1" x14ac:dyDescent="0.3">
      <c r="A24" s="35"/>
      <c r="B24" s="35"/>
      <c r="C24" s="29" t="s">
        <v>24</v>
      </c>
      <c r="D24" s="40"/>
      <c r="E24" s="33">
        <f t="shared" ref="E24:H24" si="10">E23/D23-1</f>
        <v>0.20454125820676983</v>
      </c>
      <c r="F24" s="33">
        <f t="shared" si="10"/>
        <v>0.37623430604373276</v>
      </c>
      <c r="G24" s="33">
        <f t="shared" si="10"/>
        <v>0.21695366571345676</v>
      </c>
      <c r="H24" s="34">
        <f t="shared" si="10"/>
        <v>9.399517263985091E-2</v>
      </c>
      <c r="I24" s="41">
        <f ca="1">Schedules!H7</f>
        <v>0.18807488377447817</v>
      </c>
      <c r="J24" s="41">
        <f ca="1">Schedules!I7</f>
        <v>0.28215459490910544</v>
      </c>
      <c r="K24" s="41">
        <f ca="1">Schedules!J7</f>
        <v>0.3762343060437327</v>
      </c>
      <c r="L24" s="41">
        <f ca="1">Schedules!K7</f>
        <v>0.32704369089462804</v>
      </c>
      <c r="M24" s="41">
        <f ca="1">Schedules!L7</f>
        <v>0.27785307574552337</v>
      </c>
      <c r="N24" s="41">
        <f ca="1">Schedules!M7</f>
        <v>0.2286624605964187</v>
      </c>
      <c r="O24" s="41">
        <f ca="1">Schedules!N7</f>
        <v>0.17947184544731404</v>
      </c>
      <c r="P24" s="41">
        <f ca="1">Schedules!O7</f>
        <v>0.13028123029820937</v>
      </c>
      <c r="Q24" s="41">
        <f ca="1">Schedules!P7</f>
        <v>8.1090615149104706E-2</v>
      </c>
      <c r="R24" s="41">
        <f ca="1">Schedules!Q7</f>
        <v>3.1900000000000032E-2</v>
      </c>
      <c r="S24" s="35"/>
      <c r="T24" s="20" t="s">
        <v>25</v>
      </c>
    </row>
    <row r="25" spans="1:31" ht="14.25" customHeight="1" x14ac:dyDescent="0.3">
      <c r="C25" s="7" t="s">
        <v>26</v>
      </c>
      <c r="D25" s="26">
        <v>139156</v>
      </c>
      <c r="E25" s="26">
        <v>165536</v>
      </c>
      <c r="F25" s="26">
        <v>233307</v>
      </c>
      <c r="G25" s="26">
        <v>272344</v>
      </c>
      <c r="H25" s="27">
        <v>288831</v>
      </c>
      <c r="I25" s="28">
        <f t="shared" ref="I25:R25" ca="1" si="11">-(I$26-I$23)</f>
        <v>343152.85675546626</v>
      </c>
      <c r="J25" s="28">
        <f t="shared" ca="1" si="11"/>
        <v>439975.01204520714</v>
      </c>
      <c r="K25" s="28">
        <f t="shared" ca="1" si="11"/>
        <v>605508.70537861867</v>
      </c>
      <c r="L25" s="28">
        <f t="shared" ca="1" si="11"/>
        <v>803536.50725446991</v>
      </c>
      <c r="M25" s="28">
        <f t="shared" ca="1" si="11"/>
        <v>1026801.5972689394</v>
      </c>
      <c r="N25" s="28">
        <f t="shared" ca="1" si="11"/>
        <v>1261592.577044788</v>
      </c>
      <c r="O25" s="28">
        <f t="shared" ca="1" si="11"/>
        <v>1488012.9250496489</v>
      </c>
      <c r="P25" s="28">
        <f t="shared" ca="1" si="11"/>
        <v>1681873.0796247546</v>
      </c>
      <c r="Q25" s="28">
        <f t="shared" ca="1" si="11"/>
        <v>1818257.2022542451</v>
      </c>
      <c r="R25" s="28">
        <f t="shared" ca="1" si="11"/>
        <v>1876259.6070061554</v>
      </c>
      <c r="T25" s="20"/>
    </row>
    <row r="26" spans="1:31" ht="14.25" customHeight="1" x14ac:dyDescent="0.3">
      <c r="A26" s="35"/>
      <c r="B26" s="35"/>
      <c r="C26" s="36" t="s">
        <v>27</v>
      </c>
      <c r="D26" s="37">
        <f t="shared" ref="D26:H26" si="12">D23-D25</f>
        <v>93731</v>
      </c>
      <c r="E26" s="37">
        <f t="shared" si="12"/>
        <v>114986</v>
      </c>
      <c r="F26" s="37">
        <f t="shared" si="12"/>
        <v>152757</v>
      </c>
      <c r="G26" s="37">
        <f t="shared" si="12"/>
        <v>197478</v>
      </c>
      <c r="H26" s="38">
        <f t="shared" si="12"/>
        <v>225152</v>
      </c>
      <c r="I26" s="39">
        <f t="shared" ref="I26:R26" ca="1" si="13">I$23*I$27</f>
        <v>267497.43623159133</v>
      </c>
      <c r="J26" s="39">
        <f t="shared" ca="1" si="13"/>
        <v>342973.06699074019</v>
      </c>
      <c r="K26" s="39">
        <f t="shared" ca="1" si="13"/>
        <v>472011.30084169202</v>
      </c>
      <c r="L26" s="39">
        <f t="shared" ca="1" si="13"/>
        <v>626379.61881293356</v>
      </c>
      <c r="M26" s="39">
        <f t="shared" ca="1" si="13"/>
        <v>800421.12248441565</v>
      </c>
      <c r="N26" s="39">
        <f t="shared" ca="1" si="13"/>
        <v>983447.38586504967</v>
      </c>
      <c r="O26" s="39">
        <f t="shared" ca="1" si="13"/>
        <v>1159948.5031065869</v>
      </c>
      <c r="P26" s="39">
        <f t="shared" ca="1" si="13"/>
        <v>1311068.0211738793</v>
      </c>
      <c r="Q26" s="39">
        <f t="shared" ca="1" si="13"/>
        <v>1417383.3335131886</v>
      </c>
      <c r="R26" s="39">
        <f t="shared" ca="1" si="13"/>
        <v>1462597.8618522594</v>
      </c>
      <c r="S26" s="35"/>
      <c r="T26" s="20"/>
    </row>
    <row r="27" spans="1:31" ht="14.25" customHeight="1" x14ac:dyDescent="0.3">
      <c r="A27" s="20"/>
      <c r="B27" s="20"/>
      <c r="C27" s="29" t="s">
        <v>28</v>
      </c>
      <c r="D27" s="30">
        <f t="shared" ref="D27:H27" si="14">D26/D$23</f>
        <v>0.40247416128852193</v>
      </c>
      <c r="E27" s="30">
        <f t="shared" si="14"/>
        <v>0.40990011478600608</v>
      </c>
      <c r="F27" s="30">
        <f t="shared" si="14"/>
        <v>0.3956779186870571</v>
      </c>
      <c r="G27" s="30">
        <f t="shared" si="14"/>
        <v>0.42032514441639601</v>
      </c>
      <c r="H27" s="31">
        <f t="shared" si="14"/>
        <v>0.43805339865326287</v>
      </c>
      <c r="I27" s="32">
        <f ca="1">Schedules!H$10</f>
        <v>0.43805339865326287</v>
      </c>
      <c r="J27" s="32">
        <f ca="1">Schedules!I$10</f>
        <v>0.43805339865326287</v>
      </c>
      <c r="K27" s="32">
        <f ca="1">Schedules!J$10</f>
        <v>0.43805339865326287</v>
      </c>
      <c r="L27" s="32">
        <f ca="1">Schedules!K$10</f>
        <v>0.43805339865326287</v>
      </c>
      <c r="M27" s="32">
        <f ca="1">Schedules!L$10</f>
        <v>0.43805339865326287</v>
      </c>
      <c r="N27" s="32">
        <f ca="1">Schedules!M$10</f>
        <v>0.43805339865326287</v>
      </c>
      <c r="O27" s="32">
        <f ca="1">Schedules!N$10</f>
        <v>0.43805339865326287</v>
      </c>
      <c r="P27" s="32">
        <f ca="1">Schedules!O$10</f>
        <v>0.43805339865326287</v>
      </c>
      <c r="Q27" s="32">
        <f ca="1">Schedules!P$10</f>
        <v>0.43805339865326287</v>
      </c>
      <c r="R27" s="32">
        <f ca="1">Schedules!Q$10</f>
        <v>0.43805339865326287</v>
      </c>
      <c r="S27" s="20"/>
      <c r="T27" s="20" t="s">
        <v>25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ht="14.25" customHeight="1" x14ac:dyDescent="0.3">
      <c r="C28" s="7" t="s">
        <v>29</v>
      </c>
      <c r="D28" s="26">
        <v>28837</v>
      </c>
      <c r="E28" s="26">
        <v>35931</v>
      </c>
      <c r="F28" s="26">
        <v>42740</v>
      </c>
      <c r="G28" s="26">
        <v>56052</v>
      </c>
      <c r="H28" s="27">
        <v>73213</v>
      </c>
      <c r="I28" s="28">
        <f t="shared" ref="I28:R28" ca="1" si="15">I$23*I$29</f>
        <v>86982.526465780873</v>
      </c>
      <c r="J28" s="28">
        <f t="shared" ca="1" si="15"/>
        <v>111525.0459849038</v>
      </c>
      <c r="K28" s="28">
        <f t="shared" ca="1" si="15"/>
        <v>153484.59426752949</v>
      </c>
      <c r="L28" s="28">
        <f t="shared" ca="1" si="15"/>
        <v>203680.76247224677</v>
      </c>
      <c r="M28" s="28">
        <f t="shared" ca="1" si="15"/>
        <v>260274.08879535389</v>
      </c>
      <c r="N28" s="28">
        <f t="shared" ca="1" si="15"/>
        <v>319789.00236879033</v>
      </c>
      <c r="O28" s="28">
        <f t="shared" ca="1" si="15"/>
        <v>377182.12477767258</v>
      </c>
      <c r="P28" s="28">
        <f t="shared" ca="1" si="15"/>
        <v>426321.87604020053</v>
      </c>
      <c r="Q28" s="28">
        <f t="shared" ca="1" si="15"/>
        <v>460892.57921982073</v>
      </c>
      <c r="R28" s="28">
        <f t="shared" ca="1" si="15"/>
        <v>475595.05249693303</v>
      </c>
      <c r="T28" s="20"/>
    </row>
    <row r="29" spans="1:31" ht="14.25" customHeight="1" x14ac:dyDescent="0.3">
      <c r="A29" s="20"/>
      <c r="B29" s="20"/>
      <c r="C29" s="29" t="s">
        <v>30</v>
      </c>
      <c r="D29" s="30">
        <f t="shared" ref="D29:H29" si="16">D28/D$23</f>
        <v>0.12382400048091993</v>
      </c>
      <c r="E29" s="30">
        <f t="shared" si="16"/>
        <v>0.12808621070718162</v>
      </c>
      <c r="F29" s="30">
        <f t="shared" si="16"/>
        <v>0.11070703303079282</v>
      </c>
      <c r="G29" s="30">
        <f t="shared" si="16"/>
        <v>0.11930475797216818</v>
      </c>
      <c r="H29" s="31">
        <f t="shared" si="16"/>
        <v>0.14244245432241923</v>
      </c>
      <c r="I29" s="32">
        <f ca="1">Schedules!H$11</f>
        <v>0.14244245432241923</v>
      </c>
      <c r="J29" s="32">
        <f ca="1">Schedules!I$11</f>
        <v>0.14244245432241923</v>
      </c>
      <c r="K29" s="32">
        <f ca="1">Schedules!J$11</f>
        <v>0.14244245432241923</v>
      </c>
      <c r="L29" s="32">
        <f ca="1">Schedules!K$11</f>
        <v>0.14244245432241923</v>
      </c>
      <c r="M29" s="32">
        <f ca="1">Schedules!L$11</f>
        <v>0.14244245432241923</v>
      </c>
      <c r="N29" s="32">
        <f ca="1">Schedules!M$11</f>
        <v>0.14244245432241923</v>
      </c>
      <c r="O29" s="32">
        <f ca="1">Schedules!N$11</f>
        <v>0.14244245432241923</v>
      </c>
      <c r="P29" s="32">
        <f ca="1">Schedules!O$11</f>
        <v>0.14244245432241923</v>
      </c>
      <c r="Q29" s="32">
        <f ca="1">Schedules!P$11</f>
        <v>0.14244245432241923</v>
      </c>
      <c r="R29" s="32">
        <f ca="1">Schedules!Q$11</f>
        <v>0.14244245432241923</v>
      </c>
      <c r="S29" s="20"/>
      <c r="T29" s="20" t="s">
        <v>25</v>
      </c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1" ht="14.25" customHeight="1" x14ac:dyDescent="0.3">
      <c r="C30" s="7" t="s">
        <v>31</v>
      </c>
      <c r="D30" s="26">
        <v>4336</v>
      </c>
      <c r="E30" s="26">
        <v>5203</v>
      </c>
      <c r="F30" s="26">
        <v>6668</v>
      </c>
      <c r="G30" s="26">
        <v>8823</v>
      </c>
      <c r="H30" s="27">
        <v>11891</v>
      </c>
      <c r="I30" s="28">
        <f t="shared" ref="I30:R30" ca="1" si="17">I$23*I$31</f>
        <v>10546.997786993088</v>
      </c>
      <c r="J30" s="28">
        <f t="shared" ca="1" si="17"/>
        <v>13522.881675089355</v>
      </c>
      <c r="K30" s="28">
        <f t="shared" ca="1" si="17"/>
        <v>18610.653677828112</v>
      </c>
      <c r="L30" s="28">
        <f t="shared" ca="1" si="17"/>
        <v>24697.150546586694</v>
      </c>
      <c r="M30" s="28">
        <f t="shared" ca="1" si="17"/>
        <v>31559.329788106043</v>
      </c>
      <c r="N30" s="28">
        <f t="shared" ca="1" si="17"/>
        <v>38775.763792228223</v>
      </c>
      <c r="O30" s="28">
        <f t="shared" ca="1" si="17"/>
        <v>45734.921678648563</v>
      </c>
      <c r="P30" s="28">
        <f t="shared" ca="1" si="17"/>
        <v>51693.323542535152</v>
      </c>
      <c r="Q30" s="28">
        <f t="shared" ca="1" si="17"/>
        <v>55885.166947701022</v>
      </c>
      <c r="R30" s="28">
        <f t="shared" ca="1" si="17"/>
        <v>57667.903773332684</v>
      </c>
      <c r="T30" s="20"/>
    </row>
    <row r="31" spans="1:31" ht="14.25" customHeight="1" x14ac:dyDescent="0.3">
      <c r="A31" s="20"/>
      <c r="B31" s="20"/>
      <c r="C31" s="29" t="s">
        <v>30</v>
      </c>
      <c r="D31" s="30">
        <f t="shared" ref="D31:H31" si="18">D30/D$23</f>
        <v>1.8618471619283171E-2</v>
      </c>
      <c r="E31" s="30">
        <f t="shared" si="18"/>
        <v>1.8547564896870834E-2</v>
      </c>
      <c r="F31" s="30">
        <f t="shared" si="18"/>
        <v>1.7271747689502258E-2</v>
      </c>
      <c r="G31" s="30">
        <f t="shared" si="18"/>
        <v>1.8779452643767215E-2</v>
      </c>
      <c r="H31" s="31">
        <f t="shared" si="18"/>
        <v>2.3135006410717866E-2</v>
      </c>
      <c r="I31" s="32">
        <f ca="1">Schedules!H$12</f>
        <v>1.7271747689502258E-2</v>
      </c>
      <c r="J31" s="32">
        <f ca="1">Schedules!I$12</f>
        <v>1.7271747689502258E-2</v>
      </c>
      <c r="K31" s="32">
        <f ca="1">Schedules!J$12</f>
        <v>1.7271747689502258E-2</v>
      </c>
      <c r="L31" s="32">
        <f ca="1">Schedules!K$12</f>
        <v>1.7271747689502258E-2</v>
      </c>
      <c r="M31" s="32">
        <f ca="1">Schedules!L$12</f>
        <v>1.7271747689502258E-2</v>
      </c>
      <c r="N31" s="32">
        <f ca="1">Schedules!M$12</f>
        <v>1.7271747689502258E-2</v>
      </c>
      <c r="O31" s="32">
        <f ca="1">Schedules!N$12</f>
        <v>1.7271747689502258E-2</v>
      </c>
      <c r="P31" s="32">
        <f ca="1">Schedules!O$12</f>
        <v>1.7271747689502258E-2</v>
      </c>
      <c r="Q31" s="32">
        <f ca="1">Schedules!P$12</f>
        <v>1.7271747689502258E-2</v>
      </c>
      <c r="R31" s="32">
        <f ca="1">Schedules!Q$12</f>
        <v>1.7271747689502258E-2</v>
      </c>
      <c r="S31" s="20"/>
      <c r="T31" s="20" t="s">
        <v>25</v>
      </c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 spans="1:31" ht="14.25" customHeight="1" x14ac:dyDescent="0.3">
      <c r="C32" s="7" t="s">
        <v>32</v>
      </c>
      <c r="D32" s="26">
        <v>34027</v>
      </c>
      <c r="E32" s="26">
        <v>40232</v>
      </c>
      <c r="F32" s="26">
        <v>58517</v>
      </c>
      <c r="G32" s="26">
        <v>75111</v>
      </c>
      <c r="H32" s="27">
        <v>84299</v>
      </c>
      <c r="I32" s="28">
        <f t="shared" ref="I32:R32" ca="1" si="19">I$23*I$33</f>
        <v>87578.452269181391</v>
      </c>
      <c r="J32" s="28">
        <f t="shared" ca="1" si="19"/>
        <v>112289.11499195868</v>
      </c>
      <c r="K32" s="28">
        <f t="shared" ca="1" si="19"/>
        <v>154536.13224722317</v>
      </c>
      <c r="L32" s="28">
        <f t="shared" ca="1" si="19"/>
        <v>205076.19931393536</v>
      </c>
      <c r="M32" s="28">
        <f t="shared" ca="1" si="19"/>
        <v>262057.25205551428</v>
      </c>
      <c r="N32" s="28">
        <f t="shared" ca="1" si="19"/>
        <v>321979.90812766412</v>
      </c>
      <c r="O32" s="28">
        <f t="shared" ca="1" si="19"/>
        <v>379766.23643629259</v>
      </c>
      <c r="P32" s="28">
        <f t="shared" ca="1" si="19"/>
        <v>429242.64894493349</v>
      </c>
      <c r="Q32" s="28">
        <f t="shared" ca="1" si="19"/>
        <v>464050.19939610938</v>
      </c>
      <c r="R32" s="28">
        <f t="shared" ca="1" si="19"/>
        <v>478853.40075684525</v>
      </c>
      <c r="T32" s="20"/>
    </row>
    <row r="33" spans="1:31" ht="14.25" customHeight="1" x14ac:dyDescent="0.3">
      <c r="A33" s="20"/>
      <c r="B33" s="20"/>
      <c r="C33" s="29" t="s">
        <v>30</v>
      </c>
      <c r="D33" s="30">
        <f t="shared" ref="D33:H33" si="20">D32/D$23</f>
        <v>0.14610948657503425</v>
      </c>
      <c r="E33" s="30">
        <f t="shared" si="20"/>
        <v>0.14341834152045116</v>
      </c>
      <c r="F33" s="30">
        <f t="shared" si="20"/>
        <v>0.15157331426913673</v>
      </c>
      <c r="G33" s="30">
        <f t="shared" si="20"/>
        <v>0.15987118525739535</v>
      </c>
      <c r="H33" s="31">
        <f t="shared" si="20"/>
        <v>0.16401126107283703</v>
      </c>
      <c r="I33" s="32">
        <f ca="1">Schedules!H$13</f>
        <v>0.14341834152045116</v>
      </c>
      <c r="J33" s="32">
        <f ca="1">Schedules!I$13</f>
        <v>0.14341834152045116</v>
      </c>
      <c r="K33" s="32">
        <f ca="1">Schedules!J$13</f>
        <v>0.14341834152045116</v>
      </c>
      <c r="L33" s="32">
        <f ca="1">Schedules!K$13</f>
        <v>0.14341834152045116</v>
      </c>
      <c r="M33" s="32">
        <f ca="1">Schedules!L$13</f>
        <v>0.14341834152045116</v>
      </c>
      <c r="N33" s="32">
        <f ca="1">Schedules!M$13</f>
        <v>0.14341834152045116</v>
      </c>
      <c r="O33" s="32">
        <f ca="1">Schedules!N$13</f>
        <v>0.14341834152045116</v>
      </c>
      <c r="P33" s="32">
        <f ca="1">Schedules!O$13</f>
        <v>0.14341834152045116</v>
      </c>
      <c r="Q33" s="32">
        <f ca="1">Schedules!P$13</f>
        <v>0.14341834152045116</v>
      </c>
      <c r="R33" s="32">
        <f ca="1">Schedules!Q$13</f>
        <v>0.14341834152045116</v>
      </c>
      <c r="S33" s="20"/>
      <c r="T33" s="20" t="s">
        <v>25</v>
      </c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1:31" ht="14.25" customHeight="1" x14ac:dyDescent="0.3">
      <c r="C34" s="7" t="s">
        <v>33</v>
      </c>
      <c r="D34" s="26">
        <v>13814</v>
      </c>
      <c r="E34" s="26">
        <v>18878</v>
      </c>
      <c r="F34" s="26">
        <v>22008</v>
      </c>
      <c r="G34" s="26">
        <v>32551</v>
      </c>
      <c r="H34" s="27">
        <v>42238</v>
      </c>
      <c r="I34" s="28">
        <f t="shared" ref="I34:R34" ca="1" si="21">I$23*I$35</f>
        <v>34810.78693703418</v>
      </c>
      <c r="J34" s="28">
        <f t="shared" ca="1" si="21"/>
        <v>44632.810423720235</v>
      </c>
      <c r="K34" s="28">
        <f t="shared" ca="1" si="21"/>
        <v>61425.204880270103</v>
      </c>
      <c r="L34" s="28">
        <f t="shared" ca="1" si="21"/>
        <v>81513.930598272345</v>
      </c>
      <c r="M34" s="28">
        <f t="shared" ca="1" si="21"/>
        <v>104162.82693110945</v>
      </c>
      <c r="N34" s="28">
        <f t="shared" ca="1" si="21"/>
        <v>127980.95523985584</v>
      </c>
      <c r="O34" s="28">
        <f t="shared" ca="1" si="21"/>
        <v>150949.93345886286</v>
      </c>
      <c r="P34" s="28">
        <f t="shared" ca="1" si="21"/>
        <v>170615.87650331637</v>
      </c>
      <c r="Q34" s="28">
        <f t="shared" ca="1" si="21"/>
        <v>184451.22288317396</v>
      </c>
      <c r="R34" s="28">
        <f t="shared" ca="1" si="21"/>
        <v>190335.21689314721</v>
      </c>
      <c r="T34" s="20"/>
    </row>
    <row r="35" spans="1:31" ht="14.25" customHeight="1" x14ac:dyDescent="0.3">
      <c r="A35" s="20"/>
      <c r="B35" s="20"/>
      <c r="C35" s="29" t="s">
        <v>30</v>
      </c>
      <c r="D35" s="30">
        <f t="shared" ref="D35:H35" si="22">D34/D$23</f>
        <v>5.9316320790769775E-2</v>
      </c>
      <c r="E35" s="30">
        <f t="shared" si="22"/>
        <v>6.7295969656568824E-2</v>
      </c>
      <c r="F35" s="30">
        <f t="shared" si="22"/>
        <v>5.7006092254134028E-2</v>
      </c>
      <c r="G35" s="30">
        <f t="shared" si="22"/>
        <v>6.9283686161993263E-2</v>
      </c>
      <c r="H35" s="31">
        <f t="shared" si="22"/>
        <v>8.2177815219569517E-2</v>
      </c>
      <c r="I35" s="32">
        <f ca="1">Schedules!H$14</f>
        <v>5.7006092254134028E-2</v>
      </c>
      <c r="J35" s="32">
        <f ca="1">Schedules!I$14</f>
        <v>5.7006092254134028E-2</v>
      </c>
      <c r="K35" s="32">
        <f ca="1">Schedules!J$14</f>
        <v>5.7006092254134028E-2</v>
      </c>
      <c r="L35" s="32">
        <f ca="1">Schedules!K$14</f>
        <v>5.7006092254134028E-2</v>
      </c>
      <c r="M35" s="32">
        <f ca="1">Schedules!L$14</f>
        <v>5.7006092254134028E-2</v>
      </c>
      <c r="N35" s="32">
        <f ca="1">Schedules!M$14</f>
        <v>5.7006092254134028E-2</v>
      </c>
      <c r="O35" s="32">
        <f ca="1">Schedules!N$14</f>
        <v>5.7006092254134028E-2</v>
      </c>
      <c r="P35" s="32">
        <f ca="1">Schedules!O$14</f>
        <v>5.7006092254134028E-2</v>
      </c>
      <c r="Q35" s="32">
        <f ca="1">Schedules!P$14</f>
        <v>5.7006092254134028E-2</v>
      </c>
      <c r="R35" s="32">
        <f ca="1">Schedules!Q$14</f>
        <v>5.7006092254134028E-2</v>
      </c>
      <c r="S35" s="20"/>
      <c r="T35" s="20" t="s">
        <v>25</v>
      </c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31" ht="14.25" customHeight="1" x14ac:dyDescent="0.3">
      <c r="C36" s="7" t="s">
        <v>34</v>
      </c>
      <c r="D36" s="26">
        <v>296</v>
      </c>
      <c r="E36" s="26">
        <v>201</v>
      </c>
      <c r="F36" s="26">
        <v>-75</v>
      </c>
      <c r="G36" s="26">
        <v>62</v>
      </c>
      <c r="H36" s="27">
        <v>1263</v>
      </c>
      <c r="I36" s="42">
        <f>Schedules!H$15</f>
        <v>349.4</v>
      </c>
      <c r="J36" s="42">
        <f>Schedules!I$15</f>
        <v>349.4</v>
      </c>
      <c r="K36" s="42">
        <f>Schedules!J$15</f>
        <v>349.4</v>
      </c>
      <c r="L36" s="42">
        <f>Schedules!K$15</f>
        <v>349.4</v>
      </c>
      <c r="M36" s="42">
        <f>Schedules!L$15</f>
        <v>349.4</v>
      </c>
      <c r="N36" s="42">
        <f>Schedules!M$15</f>
        <v>349.4</v>
      </c>
      <c r="O36" s="42">
        <f>Schedules!N$15</f>
        <v>349.4</v>
      </c>
      <c r="P36" s="42">
        <f>Schedules!O$15</f>
        <v>349.4</v>
      </c>
      <c r="Q36" s="42">
        <f>Schedules!P$15</f>
        <v>349.4</v>
      </c>
      <c r="R36" s="42">
        <f>Schedules!Q$15</f>
        <v>349.4</v>
      </c>
      <c r="T36" s="20" t="s">
        <v>35</v>
      </c>
    </row>
    <row r="37" spans="1:31" ht="14.25" customHeight="1" x14ac:dyDescent="0.3">
      <c r="A37" s="35"/>
      <c r="B37" s="35"/>
      <c r="C37" s="36" t="s">
        <v>36</v>
      </c>
      <c r="D37" s="37">
        <f t="shared" ref="D37:R37" si="23">D26-D28-D30-D32-D34-D36</f>
        <v>12421</v>
      </c>
      <c r="E37" s="37">
        <f t="shared" si="23"/>
        <v>14541</v>
      </c>
      <c r="F37" s="37">
        <f t="shared" si="23"/>
        <v>22899</v>
      </c>
      <c r="G37" s="37">
        <f t="shared" si="23"/>
        <v>24879</v>
      </c>
      <c r="H37" s="38">
        <f t="shared" si="23"/>
        <v>12248</v>
      </c>
      <c r="I37" s="39">
        <f t="shared" ca="1" si="23"/>
        <v>47229.272772601798</v>
      </c>
      <c r="J37" s="39">
        <f t="shared" ca="1" si="23"/>
        <v>60653.813915068102</v>
      </c>
      <c r="K37" s="39">
        <f t="shared" ca="1" si="23"/>
        <v>83605.315768841174</v>
      </c>
      <c r="L37" s="39">
        <f t="shared" ca="1" si="23"/>
        <v>111062.17588189237</v>
      </c>
      <c r="M37" s="39">
        <f t="shared" ca="1" si="23"/>
        <v>142018.22491433201</v>
      </c>
      <c r="N37" s="39">
        <f t="shared" ca="1" si="23"/>
        <v>174572.35633651118</v>
      </c>
      <c r="O37" s="39">
        <f t="shared" ca="1" si="23"/>
        <v>205965.88675511029</v>
      </c>
      <c r="P37" s="39">
        <f t="shared" ca="1" si="23"/>
        <v>232844.89614289376</v>
      </c>
      <c r="Q37" s="39">
        <f t="shared" ca="1" si="23"/>
        <v>251754.76506638361</v>
      </c>
      <c r="R37" s="39">
        <f t="shared" ca="1" si="23"/>
        <v>259796.88793200118</v>
      </c>
      <c r="S37" s="35"/>
    </row>
    <row r="38" spans="1:31" ht="14.25" customHeight="1" x14ac:dyDescent="0.3">
      <c r="A38" s="20"/>
      <c r="B38" s="20"/>
      <c r="C38" s="29" t="s">
        <v>37</v>
      </c>
      <c r="D38" s="30">
        <f t="shared" ref="D38:H38" si="24">D37/D$23</f>
        <v>5.3334879147397665E-2</v>
      </c>
      <c r="E38" s="30">
        <f t="shared" si="24"/>
        <v>5.1835506662579051E-2</v>
      </c>
      <c r="F38" s="30">
        <f t="shared" si="24"/>
        <v>5.9313999751336569E-2</v>
      </c>
      <c r="G38" s="30">
        <f t="shared" si="24"/>
        <v>5.2954097509269465E-2</v>
      </c>
      <c r="H38" s="31">
        <f t="shared" si="24"/>
        <v>2.3829581912242232E-2</v>
      </c>
      <c r="I38" s="43">
        <f t="shared" ref="I38:R38" ca="1" si="25">I$37/I$23</f>
        <v>7.7342585953042026E-2</v>
      </c>
      <c r="J38" s="43">
        <f t="shared" ca="1" si="25"/>
        <v>7.7468500835651599E-2</v>
      </c>
      <c r="K38" s="43">
        <f t="shared" ca="1" si="25"/>
        <v>7.7590499745901848E-2</v>
      </c>
      <c r="L38" s="43">
        <f t="shared" ca="1" si="25"/>
        <v>7.7670412870535818E-2</v>
      </c>
      <c r="M38" s="43">
        <f t="shared" ca="1" si="25"/>
        <v>7.7723543703255904E-2</v>
      </c>
      <c r="N38" s="43">
        <f t="shared" ca="1" si="25"/>
        <v>7.775913089326246E-2</v>
      </c>
      <c r="O38" s="43">
        <f t="shared" ca="1" si="25"/>
        <v>7.7782812304227358E-2</v>
      </c>
      <c r="P38" s="43">
        <f t="shared" ca="1" si="25"/>
        <v>7.7798021511603296E-2</v>
      </c>
      <c r="Q38" s="43">
        <f t="shared" ca="1" si="25"/>
        <v>7.7806778065559148E-2</v>
      </c>
      <c r="R38" s="43">
        <f t="shared" ca="1" si="25"/>
        <v>7.7810116291315679E-2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31" ht="14.25" customHeight="1" x14ac:dyDescent="0.3">
      <c r="C39" s="7" t="s">
        <v>38</v>
      </c>
      <c r="D39" s="26">
        <v>440</v>
      </c>
      <c r="E39" s="26">
        <v>832</v>
      </c>
      <c r="F39" s="26">
        <v>555</v>
      </c>
      <c r="G39" s="26">
        <v>448</v>
      </c>
      <c r="H39" s="27">
        <v>989</v>
      </c>
      <c r="I39" s="42">
        <f ca="1">Schedules!H$105</f>
        <v>912.45936089880183</v>
      </c>
      <c r="J39" s="42">
        <f ca="1">Schedules!I$105</f>
        <v>1130.6813410336729</v>
      </c>
      <c r="K39" s="42">
        <f ca="1">Schedules!J$105</f>
        <v>1509.4711588491796</v>
      </c>
      <c r="L39" s="42">
        <f ca="1">Schedules!K$105</f>
        <v>2034.3818603173263</v>
      </c>
      <c r="M39" s="42">
        <f ca="1">Schedules!L$105</f>
        <v>2642.6452499218981</v>
      </c>
      <c r="N39" s="42">
        <f ca="1">Schedules!M$105</f>
        <v>3303.9873779351637</v>
      </c>
      <c r="O39" s="42">
        <f ca="1">Schedules!N$105</f>
        <v>3969.8850727696513</v>
      </c>
      <c r="P39" s="42">
        <f ca="1">Schedules!O$105</f>
        <v>4576.6867729762544</v>
      </c>
      <c r="Q39" s="42">
        <f ca="1">Schedules!P$105</f>
        <v>5053.4940187587799</v>
      </c>
      <c r="R39" s="42">
        <f ca="1">Schedules!Q$105</f>
        <v>5334.1496156475469</v>
      </c>
      <c r="T39" s="20" t="s">
        <v>39</v>
      </c>
    </row>
    <row r="40" spans="1:31" ht="14.25" customHeight="1" x14ac:dyDescent="0.3">
      <c r="C40" s="7" t="s">
        <v>40</v>
      </c>
      <c r="D40" s="26">
        <v>1417</v>
      </c>
      <c r="E40" s="26">
        <v>1600</v>
      </c>
      <c r="F40" s="26">
        <v>1647</v>
      </c>
      <c r="G40" s="26">
        <v>1809</v>
      </c>
      <c r="H40" s="27">
        <v>2367</v>
      </c>
      <c r="I40" s="42">
        <f ca="1">-Schedules!H$100</f>
        <v>2953.545519350359</v>
      </c>
      <c r="J40" s="42">
        <f ca="1">-Schedules!I$100</f>
        <v>3600.5878940306834</v>
      </c>
      <c r="K40" s="42">
        <f ca="1">-Schedules!J$100</f>
        <v>4875.7528841288713</v>
      </c>
      <c r="L40" s="42">
        <f ca="1">-Schedules!K$100</f>
        <v>6675.215516046409</v>
      </c>
      <c r="M40" s="42">
        <f ca="1">-Schedules!L$100</f>
        <v>8824.0311493829213</v>
      </c>
      <c r="N40" s="42">
        <f ca="1">-Schedules!M$100</f>
        <v>10998.528027127277</v>
      </c>
      <c r="O40" s="42">
        <f ca="1">-Schedules!N$100</f>
        <v>13188.003635863506</v>
      </c>
      <c r="P40" s="42">
        <f ca="1">-Schedules!O$100</f>
        <v>15183.17126033209</v>
      </c>
      <c r="Q40" s="42">
        <f ca="1">-Schedules!P$100</f>
        <v>16750.916340105974</v>
      </c>
      <c r="R40" s="42">
        <f ca="1">-Schedules!Q$100</f>
        <v>17673.713623547537</v>
      </c>
      <c r="T40" s="20" t="s">
        <v>41</v>
      </c>
    </row>
    <row r="41" spans="1:31" ht="14.25" customHeight="1" x14ac:dyDescent="0.3">
      <c r="C41" s="7" t="s">
        <v>42</v>
      </c>
      <c r="D41" s="26">
        <v>183</v>
      </c>
      <c r="E41" s="26">
        <v>-203</v>
      </c>
      <c r="F41" s="26">
        <v>-2371</v>
      </c>
      <c r="G41" s="26">
        <v>-14633</v>
      </c>
      <c r="H41" s="27">
        <v>16806</v>
      </c>
      <c r="I41" s="42">
        <f>Schedules!H$16</f>
        <v>-797</v>
      </c>
      <c r="J41" s="42">
        <f>Schedules!I$16</f>
        <v>-797</v>
      </c>
      <c r="K41" s="42">
        <f>Schedules!J$16</f>
        <v>-797</v>
      </c>
      <c r="L41" s="42">
        <f>Schedules!K$16</f>
        <v>-797</v>
      </c>
      <c r="M41" s="42">
        <f>Schedules!L$16</f>
        <v>-797</v>
      </c>
      <c r="N41" s="42">
        <f>Schedules!M$16</f>
        <v>-797</v>
      </c>
      <c r="O41" s="42">
        <f>Schedules!N$16</f>
        <v>-797</v>
      </c>
      <c r="P41" s="42">
        <f>Schedules!O$16</f>
        <v>-797</v>
      </c>
      <c r="Q41" s="42">
        <f>Schedules!P$16</f>
        <v>-797</v>
      </c>
      <c r="R41" s="42">
        <f>Schedules!Q$16</f>
        <v>-797</v>
      </c>
      <c r="T41" s="20" t="s">
        <v>43</v>
      </c>
    </row>
    <row r="42" spans="1:31" ht="14.25" customHeight="1" x14ac:dyDescent="0.3">
      <c r="C42" s="7" t="s">
        <v>44</v>
      </c>
      <c r="D42" s="26">
        <v>9</v>
      </c>
      <c r="E42" s="26">
        <v>-14</v>
      </c>
      <c r="F42" s="26">
        <v>16</v>
      </c>
      <c r="G42" s="26">
        <v>4</v>
      </c>
      <c r="H42" s="27">
        <v>-3</v>
      </c>
      <c r="I42" s="42">
        <f>Schedules!H$17</f>
        <v>2.4</v>
      </c>
      <c r="J42" s="42">
        <f>Schedules!I$17</f>
        <v>2.4</v>
      </c>
      <c r="K42" s="42">
        <f>Schedules!J$17</f>
        <v>2.4</v>
      </c>
      <c r="L42" s="42">
        <f>Schedules!K$17</f>
        <v>2.4</v>
      </c>
      <c r="M42" s="42">
        <f>Schedules!L$17</f>
        <v>2.4</v>
      </c>
      <c r="N42" s="42">
        <f>Schedules!M$17</f>
        <v>2.4</v>
      </c>
      <c r="O42" s="42">
        <f>Schedules!N$17</f>
        <v>2.4</v>
      </c>
      <c r="P42" s="42">
        <f>Schedules!O$17</f>
        <v>2.4</v>
      </c>
      <c r="Q42" s="42">
        <f>Schedules!P$17</f>
        <v>2.4</v>
      </c>
      <c r="R42" s="42">
        <f>Schedules!Q$17</f>
        <v>2.4</v>
      </c>
      <c r="T42" s="20" t="s">
        <v>45</v>
      </c>
    </row>
    <row r="43" spans="1:31" ht="14.25" customHeight="1" x14ac:dyDescent="0.3">
      <c r="A43" s="35"/>
      <c r="B43" s="35"/>
      <c r="C43" s="36" t="s">
        <v>46</v>
      </c>
      <c r="D43" s="37">
        <f t="shared" ref="D43:I43" si="26">D37+D39-D40-D41</f>
        <v>11261</v>
      </c>
      <c r="E43" s="37">
        <f t="shared" si="26"/>
        <v>13976</v>
      </c>
      <c r="F43" s="37">
        <f t="shared" si="26"/>
        <v>24178</v>
      </c>
      <c r="G43" s="37">
        <f t="shared" si="26"/>
        <v>38151</v>
      </c>
      <c r="H43" s="38">
        <f t="shared" si="26"/>
        <v>-5936</v>
      </c>
      <c r="I43" s="39">
        <f t="shared" ca="1" si="26"/>
        <v>45985.18661415024</v>
      </c>
      <c r="J43" s="39">
        <f t="shared" ref="J43:R43" ca="1" si="27">J37+J39-J40-J41+J42</f>
        <v>58983.307362071093</v>
      </c>
      <c r="K43" s="39">
        <f t="shared" ca="1" si="27"/>
        <v>81038.434043561472</v>
      </c>
      <c r="L43" s="39">
        <f t="shared" ca="1" si="27"/>
        <v>107220.74222616329</v>
      </c>
      <c r="M43" s="39">
        <f t="shared" ca="1" si="27"/>
        <v>136636.23901487098</v>
      </c>
      <c r="N43" s="39">
        <f t="shared" ca="1" si="27"/>
        <v>167677.21568731908</v>
      </c>
      <c r="O43" s="39">
        <f t="shared" ca="1" si="27"/>
        <v>197547.16819201643</v>
      </c>
      <c r="P43" s="39">
        <f t="shared" ca="1" si="27"/>
        <v>223037.81165553792</v>
      </c>
      <c r="Q43" s="39">
        <f t="shared" ca="1" si="27"/>
        <v>240856.74274503643</v>
      </c>
      <c r="R43" s="39">
        <f t="shared" ca="1" si="27"/>
        <v>248256.72392410116</v>
      </c>
      <c r="S43" s="35"/>
    </row>
    <row r="44" spans="1:31" ht="14.25" customHeight="1" x14ac:dyDescent="0.3">
      <c r="C44" s="7" t="s">
        <v>47</v>
      </c>
      <c r="D44" s="26">
        <v>1197</v>
      </c>
      <c r="E44" s="26">
        <v>2374</v>
      </c>
      <c r="F44" s="26">
        <v>2863</v>
      </c>
      <c r="G44" s="26">
        <v>4791</v>
      </c>
      <c r="H44" s="27">
        <v>-3217</v>
      </c>
      <c r="I44" s="28">
        <f t="shared" ref="I44:R44" ca="1" si="28">I$43*I$45</f>
        <v>5979.8223152002138</v>
      </c>
      <c r="J44" s="28">
        <f t="shared" ca="1" si="28"/>
        <v>7670.0721157776588</v>
      </c>
      <c r="K44" s="28">
        <f t="shared" ca="1" si="28"/>
        <v>10538.076975715769</v>
      </c>
      <c r="L44" s="28">
        <f t="shared" ca="1" si="28"/>
        <v>13942.772319185229</v>
      </c>
      <c r="M44" s="28">
        <f t="shared" ca="1" si="28"/>
        <v>17767.905086085604</v>
      </c>
      <c r="N44" s="28">
        <f t="shared" ca="1" si="28"/>
        <v>21804.412027962335</v>
      </c>
      <c r="O44" s="28">
        <f t="shared" ca="1" si="28"/>
        <v>25688.641313368713</v>
      </c>
      <c r="P44" s="28">
        <f t="shared" ca="1" si="28"/>
        <v>29003.393950798996</v>
      </c>
      <c r="Q44" s="28">
        <f t="shared" ca="1" si="28"/>
        <v>31320.532351390157</v>
      </c>
      <c r="R44" s="28">
        <f t="shared" ca="1" si="28"/>
        <v>32282.811203445883</v>
      </c>
      <c r="T44" s="20" t="s">
        <v>48</v>
      </c>
    </row>
    <row r="45" spans="1:31" ht="14.25" customHeight="1" x14ac:dyDescent="0.3">
      <c r="A45" s="20"/>
      <c r="B45" s="20"/>
      <c r="C45" s="29" t="s">
        <v>49</v>
      </c>
      <c r="D45" s="30">
        <f t="shared" ref="D45:H45" si="29">D44/D43</f>
        <v>0.10629606606873279</v>
      </c>
      <c r="E45" s="30">
        <f t="shared" si="29"/>
        <v>0.16986262163709215</v>
      </c>
      <c r="F45" s="30">
        <f t="shared" si="29"/>
        <v>0.1184134337000579</v>
      </c>
      <c r="G45" s="30">
        <f t="shared" si="29"/>
        <v>0.12557993237398757</v>
      </c>
      <c r="H45" s="31">
        <f t="shared" si="29"/>
        <v>0.54194743935309975</v>
      </c>
      <c r="I45" s="32">
        <f>Schedules!H$18</f>
        <v>0.13003801344496763</v>
      </c>
      <c r="J45" s="32">
        <f>Schedules!I$18</f>
        <v>0.13003801344496763</v>
      </c>
      <c r="K45" s="32">
        <f>Schedules!J$18</f>
        <v>0.13003801344496763</v>
      </c>
      <c r="L45" s="32">
        <f>Schedules!K$18</f>
        <v>0.13003801344496763</v>
      </c>
      <c r="M45" s="32">
        <f>Schedules!L$18</f>
        <v>0.13003801344496763</v>
      </c>
      <c r="N45" s="32">
        <f>Schedules!M$18</f>
        <v>0.13003801344496763</v>
      </c>
      <c r="O45" s="32">
        <f>Schedules!N$18</f>
        <v>0.13003801344496763</v>
      </c>
      <c r="P45" s="32">
        <f>Schedules!O$18</f>
        <v>0.13003801344496763</v>
      </c>
      <c r="Q45" s="32">
        <f>Schedules!P$18</f>
        <v>0.13003801344496763</v>
      </c>
      <c r="R45" s="32">
        <f>Schedules!Q$18</f>
        <v>0.13003801344496763</v>
      </c>
      <c r="S45" s="20"/>
      <c r="T45" s="20" t="s">
        <v>50</v>
      </c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spans="1:31" ht="14.25" customHeight="1" x14ac:dyDescent="0.3">
      <c r="A46" s="35"/>
      <c r="B46" s="35"/>
      <c r="C46" s="44" t="s">
        <v>51</v>
      </c>
      <c r="D46" s="45">
        <f t="shared" ref="D46:I46" si="30">D43-D44+D42</f>
        <v>10073</v>
      </c>
      <c r="E46" s="45">
        <f t="shared" si="30"/>
        <v>11588</v>
      </c>
      <c r="F46" s="45">
        <f t="shared" si="30"/>
        <v>21331</v>
      </c>
      <c r="G46" s="45">
        <f t="shared" si="30"/>
        <v>33364</v>
      </c>
      <c r="H46" s="46">
        <f t="shared" si="30"/>
        <v>-2722</v>
      </c>
      <c r="I46" s="45">
        <f t="shared" ca="1" si="30"/>
        <v>40007.764298950024</v>
      </c>
      <c r="J46" s="45">
        <f t="shared" ref="J46:R46" ca="1" si="31">J43-J44</f>
        <v>51313.235246293436</v>
      </c>
      <c r="K46" s="45">
        <f t="shared" ca="1" si="31"/>
        <v>70500.357067845704</v>
      </c>
      <c r="L46" s="45">
        <f t="shared" ca="1" si="31"/>
        <v>93277.969906978062</v>
      </c>
      <c r="M46" s="45">
        <f t="shared" ca="1" si="31"/>
        <v>118868.33392878537</v>
      </c>
      <c r="N46" s="45">
        <f t="shared" ca="1" si="31"/>
        <v>145872.80365935675</v>
      </c>
      <c r="O46" s="45">
        <f t="shared" ca="1" si="31"/>
        <v>171858.52687864771</v>
      </c>
      <c r="P46" s="45">
        <f t="shared" ca="1" si="31"/>
        <v>194034.41770473894</v>
      </c>
      <c r="Q46" s="45">
        <f t="shared" ca="1" si="31"/>
        <v>209536.21039364627</v>
      </c>
      <c r="R46" s="45">
        <f t="shared" ca="1" si="31"/>
        <v>215973.91272065527</v>
      </c>
      <c r="S46" s="35"/>
    </row>
    <row r="47" spans="1:31" ht="14.25" customHeight="1" x14ac:dyDescent="0.3">
      <c r="A47" s="20"/>
      <c r="B47" s="20"/>
      <c r="C47" s="29" t="s">
        <v>52</v>
      </c>
      <c r="D47" s="30">
        <f t="shared" ref="D47:R47" si="32">D46/D$23</f>
        <v>4.3252736305590261E-2</v>
      </c>
      <c r="E47" s="30">
        <f t="shared" si="32"/>
        <v>4.1308703060722513E-2</v>
      </c>
      <c r="F47" s="30">
        <f t="shared" si="32"/>
        <v>5.5252496995316841E-2</v>
      </c>
      <c r="G47" s="30">
        <f t="shared" si="32"/>
        <v>7.1014128755145567E-2</v>
      </c>
      <c r="H47" s="31">
        <f t="shared" si="32"/>
        <v>-5.2958950004183018E-3</v>
      </c>
      <c r="I47" s="43">
        <f t="shared" ca="1" si="32"/>
        <v>6.5516654554029607E-2</v>
      </c>
      <c r="J47" s="43">
        <f t="shared" ca="1" si="32"/>
        <v>6.5538490508177755E-2</v>
      </c>
      <c r="K47" s="43">
        <f t="shared" ca="1" si="32"/>
        <v>6.5428350899158286E-2</v>
      </c>
      <c r="L47" s="43">
        <f t="shared" ca="1" si="32"/>
        <v>6.5233175713259373E-2</v>
      </c>
      <c r="M47" s="43">
        <f t="shared" ca="1" si="32"/>
        <v>6.5054102405661118E-2</v>
      </c>
      <c r="N47" s="43">
        <f t="shared" ca="1" si="32"/>
        <v>6.4975593338787746E-2</v>
      </c>
      <c r="O47" s="43">
        <f t="shared" ca="1" si="32"/>
        <v>6.4902201765949463E-2</v>
      </c>
      <c r="P47" s="43">
        <f t="shared" ca="1" si="32"/>
        <v>6.4830683655272392E-2</v>
      </c>
      <c r="Q47" s="43">
        <f t="shared" ca="1" si="32"/>
        <v>6.4758803729088585E-2</v>
      </c>
      <c r="R47" s="43">
        <f t="shared" ca="1" si="32"/>
        <v>6.4684975245289128E-2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31" ht="14.25" customHeight="1" x14ac:dyDescent="0.3">
      <c r="C48" s="47"/>
      <c r="D48" s="48"/>
      <c r="E48" s="48"/>
      <c r="F48" s="48"/>
      <c r="G48" s="48"/>
      <c r="H48" s="49"/>
      <c r="I48" s="50"/>
      <c r="J48" s="51"/>
      <c r="K48" s="51"/>
      <c r="L48" s="51"/>
      <c r="M48" s="51"/>
      <c r="N48" s="51"/>
      <c r="O48" s="51"/>
      <c r="P48" s="51"/>
      <c r="Q48" s="51"/>
      <c r="R48" s="51"/>
    </row>
    <row r="49" spans="1:31" ht="14.25" customHeight="1" x14ac:dyDescent="0.3">
      <c r="C49" s="47" t="s">
        <v>53</v>
      </c>
      <c r="D49" s="26">
        <v>15341</v>
      </c>
      <c r="E49" s="26">
        <v>21789</v>
      </c>
      <c r="F49" s="26">
        <v>25180</v>
      </c>
      <c r="G49" s="26">
        <v>34433</v>
      </c>
      <c r="H49" s="27">
        <v>41921</v>
      </c>
      <c r="I49" s="42">
        <f ca="1">Schedules!H67</f>
        <v>54708.511089076885</v>
      </c>
      <c r="J49" s="42">
        <f ca="1">Schedules!I67</f>
        <v>66283.794595560365</v>
      </c>
      <c r="K49" s="42">
        <f ca="1">Schedules!J67</f>
        <v>89960.550909941347</v>
      </c>
      <c r="L49" s="42">
        <f ca="1">Schedules!K67</f>
        <v>120227.26419393322</v>
      </c>
      <c r="M49" s="42">
        <f ca="1">Schedules!L67</f>
        <v>154796.63685422909</v>
      </c>
      <c r="N49" s="42">
        <f ca="1">Schedules!M67</f>
        <v>191737.3065024676</v>
      </c>
      <c r="O49" s="42">
        <f ca="1">Schedules!N67</f>
        <v>228122.38574857626</v>
      </c>
      <c r="P49" s="42">
        <f ca="1">Schedules!O67</f>
        <v>260267.37715185017</v>
      </c>
      <c r="Q49" s="42">
        <f ca="1">Schedules!P67</f>
        <v>284232.75120113324</v>
      </c>
      <c r="R49" s="42">
        <f ca="1">Schedules!Q67</f>
        <v>296532.52985637716</v>
      </c>
      <c r="T49" s="20" t="s">
        <v>54</v>
      </c>
    </row>
    <row r="50" spans="1:31" ht="14.25" customHeight="1" x14ac:dyDescent="0.3">
      <c r="C50" s="52" t="s">
        <v>55</v>
      </c>
      <c r="D50" s="53">
        <f t="shared" ref="D50:R50" si="33">D37+D49</f>
        <v>27762</v>
      </c>
      <c r="E50" s="53">
        <f t="shared" si="33"/>
        <v>36330</v>
      </c>
      <c r="F50" s="53">
        <f t="shared" si="33"/>
        <v>48079</v>
      </c>
      <c r="G50" s="53">
        <f t="shared" si="33"/>
        <v>59312</v>
      </c>
      <c r="H50" s="54">
        <f t="shared" si="33"/>
        <v>54169</v>
      </c>
      <c r="I50" s="55">
        <f t="shared" ca="1" si="33"/>
        <v>101937.78386167868</v>
      </c>
      <c r="J50" s="55">
        <f t="shared" ca="1" si="33"/>
        <v>126937.60851062846</v>
      </c>
      <c r="K50" s="55">
        <f t="shared" ca="1" si="33"/>
        <v>173565.86667878251</v>
      </c>
      <c r="L50" s="55">
        <f t="shared" ca="1" si="33"/>
        <v>231289.44007582561</v>
      </c>
      <c r="M50" s="55">
        <f t="shared" ca="1" si="33"/>
        <v>296814.86176856107</v>
      </c>
      <c r="N50" s="55">
        <f t="shared" ca="1" si="33"/>
        <v>366309.66283897881</v>
      </c>
      <c r="O50" s="55">
        <f t="shared" ca="1" si="33"/>
        <v>434088.27250368654</v>
      </c>
      <c r="P50" s="55">
        <f t="shared" ca="1" si="33"/>
        <v>493112.27329474397</v>
      </c>
      <c r="Q50" s="55">
        <f t="shared" ca="1" si="33"/>
        <v>535987.51626751688</v>
      </c>
      <c r="R50" s="55">
        <f t="shared" ca="1" si="33"/>
        <v>556329.41778837831</v>
      </c>
    </row>
    <row r="51" spans="1:31" ht="14.25" customHeight="1" x14ac:dyDescent="0.3">
      <c r="C51" s="47" t="s">
        <v>56</v>
      </c>
      <c r="D51" s="26">
        <v>5418</v>
      </c>
      <c r="E51" s="26">
        <v>6864</v>
      </c>
      <c r="F51" s="26">
        <v>9208</v>
      </c>
      <c r="G51" s="26">
        <v>12757</v>
      </c>
      <c r="H51" s="27">
        <v>19621</v>
      </c>
      <c r="I51" s="28">
        <f t="shared" ref="I51:R51" si="34">H51*(1+I52)</f>
        <v>20158.267674450108</v>
      </c>
      <c r="J51" s="28">
        <f t="shared" si="34"/>
        <v>20710.246961662509</v>
      </c>
      <c r="K51" s="28">
        <f t="shared" si="34"/>
        <v>21277.340699106055</v>
      </c>
      <c r="L51" s="28">
        <f t="shared" si="34"/>
        <v>21859.962754857101</v>
      </c>
      <c r="M51" s="28">
        <f t="shared" si="34"/>
        <v>22458.538329642688</v>
      </c>
      <c r="N51" s="28">
        <f t="shared" si="34"/>
        <v>23073.50426715432</v>
      </c>
      <c r="O51" s="28">
        <f t="shared" si="34"/>
        <v>23705.30937285885</v>
      </c>
      <c r="P51" s="28">
        <f t="shared" si="34"/>
        <v>24354.414741539149</v>
      </c>
      <c r="Q51" s="28">
        <f t="shared" si="34"/>
        <v>25021.294093803564</v>
      </c>
      <c r="R51" s="28">
        <f t="shared" si="34"/>
        <v>25706.434121809783</v>
      </c>
      <c r="T51" s="20" t="s">
        <v>57</v>
      </c>
    </row>
    <row r="52" spans="1:31" ht="14.25" customHeight="1" x14ac:dyDescent="0.3">
      <c r="A52" s="20"/>
      <c r="B52" s="20"/>
      <c r="C52" s="29" t="s">
        <v>30</v>
      </c>
      <c r="D52" s="30">
        <f t="shared" ref="D52:H52" si="35">D51/D23</f>
        <v>2.3264501668191009E-2</v>
      </c>
      <c r="E52" s="30">
        <f t="shared" si="35"/>
        <v>2.4468669123990275E-2</v>
      </c>
      <c r="F52" s="30">
        <f t="shared" si="35"/>
        <v>2.3850967715197482E-2</v>
      </c>
      <c r="G52" s="30">
        <f t="shared" si="35"/>
        <v>2.7152836606204052E-2</v>
      </c>
      <c r="H52" s="31">
        <f t="shared" si="35"/>
        <v>3.8174414328878581E-2</v>
      </c>
      <c r="I52" s="32">
        <f>Schedules!H$19</f>
        <v>2.738227788849228E-2</v>
      </c>
      <c r="J52" s="32">
        <f>Schedules!I$19</f>
        <v>2.738227788849228E-2</v>
      </c>
      <c r="K52" s="32">
        <f>Schedules!J$19</f>
        <v>2.738227788849228E-2</v>
      </c>
      <c r="L52" s="32">
        <f>Schedules!K$19</f>
        <v>2.738227788849228E-2</v>
      </c>
      <c r="M52" s="32">
        <f>Schedules!L$19</f>
        <v>2.738227788849228E-2</v>
      </c>
      <c r="N52" s="32">
        <f>Schedules!M$19</f>
        <v>2.738227788849228E-2</v>
      </c>
      <c r="O52" s="32">
        <f>Schedules!N$19</f>
        <v>2.738227788849228E-2</v>
      </c>
      <c r="P52" s="32">
        <f>Schedules!O$19</f>
        <v>2.738227788849228E-2</v>
      </c>
      <c r="Q52" s="32">
        <f>Schedules!P$19</f>
        <v>2.738227788849228E-2</v>
      </c>
      <c r="R52" s="32">
        <f>Schedules!Q$19</f>
        <v>2.738227788849228E-2</v>
      </c>
      <c r="S52" s="20"/>
      <c r="T52" s="20" t="s">
        <v>25</v>
      </c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 spans="1:31" ht="14.25" customHeight="1" x14ac:dyDescent="0.3">
      <c r="C53" s="52" t="s">
        <v>58</v>
      </c>
      <c r="D53" s="53">
        <f t="shared" ref="D53:R53" si="36">SUM(D50:D51)</f>
        <v>33180</v>
      </c>
      <c r="E53" s="53">
        <f t="shared" si="36"/>
        <v>43194</v>
      </c>
      <c r="F53" s="53">
        <f t="shared" si="36"/>
        <v>57287</v>
      </c>
      <c r="G53" s="53">
        <f t="shared" si="36"/>
        <v>72069</v>
      </c>
      <c r="H53" s="54">
        <f t="shared" si="36"/>
        <v>73790</v>
      </c>
      <c r="I53" s="55">
        <f t="shared" ca="1" si="36"/>
        <v>122096.05153612878</v>
      </c>
      <c r="J53" s="55">
        <f t="shared" ca="1" si="36"/>
        <v>147647.85547229098</v>
      </c>
      <c r="K53" s="55">
        <f t="shared" ca="1" si="36"/>
        <v>194843.20737788855</v>
      </c>
      <c r="L53" s="55">
        <f t="shared" ca="1" si="36"/>
        <v>253149.40283068269</v>
      </c>
      <c r="M53" s="55">
        <f t="shared" ca="1" si="36"/>
        <v>319273.40009820374</v>
      </c>
      <c r="N53" s="55">
        <f t="shared" ca="1" si="36"/>
        <v>389383.16710613313</v>
      </c>
      <c r="O53" s="55">
        <f t="shared" ca="1" si="36"/>
        <v>457793.58187654539</v>
      </c>
      <c r="P53" s="55">
        <f t="shared" ca="1" si="36"/>
        <v>517466.68803628313</v>
      </c>
      <c r="Q53" s="55">
        <f t="shared" ca="1" si="36"/>
        <v>561008.8103613205</v>
      </c>
      <c r="R53" s="55">
        <f t="shared" ca="1" si="36"/>
        <v>582035.8519101881</v>
      </c>
    </row>
    <row r="54" spans="1:31" ht="14.25" customHeight="1" x14ac:dyDescent="0.3">
      <c r="C54" s="47"/>
      <c r="H54" s="56"/>
      <c r="I54" s="57"/>
      <c r="J54" s="58"/>
      <c r="K54" s="58"/>
      <c r="L54" s="58"/>
      <c r="M54" s="58"/>
      <c r="N54" s="58"/>
      <c r="O54" s="58"/>
      <c r="P54" s="58"/>
      <c r="Q54" s="58"/>
      <c r="R54" s="58"/>
    </row>
    <row r="55" spans="1:31" ht="14.25" customHeight="1" x14ac:dyDescent="0.3">
      <c r="C55" s="47"/>
      <c r="H55" s="56"/>
      <c r="I55" s="50"/>
      <c r="J55" s="58"/>
      <c r="K55" s="58"/>
      <c r="L55" s="58"/>
      <c r="M55" s="58"/>
      <c r="N55" s="58"/>
      <c r="O55" s="58"/>
      <c r="P55" s="58"/>
      <c r="Q55" s="58"/>
      <c r="R55" s="58"/>
    </row>
    <row r="56" spans="1:31" ht="14.25" customHeight="1" x14ac:dyDescent="0.3">
      <c r="B56" s="7" t="s">
        <v>13</v>
      </c>
      <c r="C56" s="12" t="s">
        <v>59</v>
      </c>
      <c r="D56" s="18"/>
      <c r="E56" s="18"/>
      <c r="F56" s="18"/>
      <c r="G56" s="18"/>
      <c r="H56" s="19"/>
      <c r="I56" s="59"/>
      <c r="J56" s="59"/>
      <c r="K56" s="59"/>
      <c r="L56" s="59"/>
      <c r="M56" s="59"/>
      <c r="N56" s="59"/>
      <c r="O56" s="59"/>
      <c r="P56" s="59"/>
      <c r="Q56" s="59"/>
      <c r="R56" s="59"/>
    </row>
    <row r="57" spans="1:31" ht="14.25" customHeight="1" x14ac:dyDescent="0.3">
      <c r="C57" s="60" t="str">
        <f t="shared" ref="C57:R57" si="37">C16</f>
        <v xml:space="preserve">Fiscal year  </v>
      </c>
      <c r="D57" s="61">
        <f t="shared" si="37"/>
        <v>2018</v>
      </c>
      <c r="E57" s="61">
        <f t="shared" si="37"/>
        <v>2019</v>
      </c>
      <c r="F57" s="61">
        <f t="shared" si="37"/>
        <v>2020</v>
      </c>
      <c r="G57" s="61">
        <f t="shared" si="37"/>
        <v>2021</v>
      </c>
      <c r="H57" s="62">
        <f t="shared" si="37"/>
        <v>2022</v>
      </c>
      <c r="I57" s="16">
        <f t="shared" si="37"/>
        <v>2023</v>
      </c>
      <c r="J57" s="16">
        <f t="shared" si="37"/>
        <v>2024</v>
      </c>
      <c r="K57" s="16">
        <f t="shared" si="37"/>
        <v>2025</v>
      </c>
      <c r="L57" s="16">
        <f t="shared" si="37"/>
        <v>2026</v>
      </c>
      <c r="M57" s="16">
        <f t="shared" si="37"/>
        <v>2027</v>
      </c>
      <c r="N57" s="16">
        <f t="shared" si="37"/>
        <v>2028</v>
      </c>
      <c r="O57" s="16">
        <f t="shared" si="37"/>
        <v>2029</v>
      </c>
      <c r="P57" s="16">
        <f t="shared" si="37"/>
        <v>2030</v>
      </c>
      <c r="Q57" s="16">
        <f t="shared" si="37"/>
        <v>2031</v>
      </c>
      <c r="R57" s="16">
        <f t="shared" si="37"/>
        <v>2032</v>
      </c>
    </row>
    <row r="58" spans="1:31" ht="14.25" customHeight="1" x14ac:dyDescent="0.3">
      <c r="C58" s="13" t="str">
        <f t="shared" ref="C58:R58" si="38">C17</f>
        <v>Fiscal year end date</v>
      </c>
      <c r="D58" s="63">
        <f t="shared" si="38"/>
        <v>43465</v>
      </c>
      <c r="E58" s="64">
        <f t="shared" si="38"/>
        <v>43830</v>
      </c>
      <c r="F58" s="64">
        <f t="shared" si="38"/>
        <v>44196</v>
      </c>
      <c r="G58" s="64">
        <f t="shared" si="38"/>
        <v>44561</v>
      </c>
      <c r="H58" s="65">
        <f t="shared" si="38"/>
        <v>44926</v>
      </c>
      <c r="I58" s="63">
        <f t="shared" si="38"/>
        <v>45291</v>
      </c>
      <c r="J58" s="63">
        <f t="shared" si="38"/>
        <v>45657</v>
      </c>
      <c r="K58" s="63">
        <f t="shared" si="38"/>
        <v>46022</v>
      </c>
      <c r="L58" s="63">
        <f t="shared" si="38"/>
        <v>46387</v>
      </c>
      <c r="M58" s="63">
        <f t="shared" si="38"/>
        <v>46752</v>
      </c>
      <c r="N58" s="63">
        <f t="shared" si="38"/>
        <v>47118</v>
      </c>
      <c r="O58" s="63">
        <f t="shared" si="38"/>
        <v>47483</v>
      </c>
      <c r="P58" s="63">
        <f t="shared" si="38"/>
        <v>47848</v>
      </c>
      <c r="Q58" s="63">
        <f t="shared" si="38"/>
        <v>48213</v>
      </c>
      <c r="R58" s="63">
        <f t="shared" si="38"/>
        <v>48579</v>
      </c>
    </row>
    <row r="59" spans="1:31" ht="14.25" customHeight="1" x14ac:dyDescent="0.3">
      <c r="C59" s="7" t="s">
        <v>60</v>
      </c>
      <c r="D59" s="26">
        <v>31750</v>
      </c>
      <c r="E59" s="26">
        <v>36092</v>
      </c>
      <c r="F59" s="26">
        <v>42122</v>
      </c>
      <c r="G59" s="26">
        <v>36220</v>
      </c>
      <c r="H59" s="27">
        <v>53888</v>
      </c>
      <c r="I59" s="28">
        <f ca="1">'Financial Statements'!$L30*'Forecasted 3 Statements'!I$23</f>
        <v>64022.979336839075</v>
      </c>
      <c r="J59" s="28">
        <f ca="1">'Financial Statements'!$L30*'Forecasted 3 Statements'!J$23</f>
        <v>82087.357136498933</v>
      </c>
      <c r="K59" s="28">
        <f ca="1">'Financial Statements'!$L30*'Forecasted 3 Statements'!K$23</f>
        <v>112971.43698371366</v>
      </c>
      <c r="L59" s="28">
        <f ca="1">'Financial Statements'!$L30*'Forecasted 3 Statements'!L$23</f>
        <v>149918.03270053724</v>
      </c>
      <c r="M59" s="28">
        <f ca="1">'Financial Statements'!$L30*'Forecasted 3 Statements'!M$23</f>
        <v>191573.21919609947</v>
      </c>
      <c r="N59" s="28">
        <f ca="1">'Financial Statements'!$L30*'Forecasted 3 Statements'!N$23</f>
        <v>235378.82288185667</v>
      </c>
      <c r="O59" s="28">
        <f ca="1">'Financial Statements'!$L30*'Forecasted 3 Statements'!O$23</f>
        <v>277622.69460367993</v>
      </c>
      <c r="P59" s="28">
        <f ca="1">'Financial Statements'!$L30*'Forecasted 3 Statements'!P$23</f>
        <v>313791.72081535147</v>
      </c>
      <c r="Q59" s="28">
        <f ca="1">'Financial Statements'!$L30*'Forecasted 3 Statements'!Q$23</f>
        <v>339237.28448496439</v>
      </c>
      <c r="R59" s="28">
        <f ca="1">'Financial Statements'!$L30*'Forecasted 3 Statements'!R$23</f>
        <v>350058.95386003476</v>
      </c>
      <c r="T59" s="20" t="s">
        <v>61</v>
      </c>
    </row>
    <row r="60" spans="1:31" ht="14.25" customHeight="1" x14ac:dyDescent="0.3">
      <c r="C60" s="7" t="s">
        <v>62</v>
      </c>
      <c r="D60" s="26">
        <v>9500</v>
      </c>
      <c r="E60" s="26">
        <v>18929</v>
      </c>
      <c r="F60" s="26">
        <v>42274</v>
      </c>
      <c r="G60" s="26">
        <v>59829</v>
      </c>
      <c r="H60" s="27">
        <v>16138</v>
      </c>
      <c r="I60" s="28">
        <f ca="1">'Financial Statements'!$L31*'Forecasted 3 Statements'!I$23</f>
        <v>19173.152474352526</v>
      </c>
      <c r="J60" s="28">
        <f ca="1">'Financial Statements'!$L31*'Forecasted 3 Statements'!J$23</f>
        <v>24582.945543883976</v>
      </c>
      <c r="K60" s="28">
        <f ca="1">'Financial Statements'!$L31*'Forecasted 3 Statements'!K$23</f>
        <v>33831.89300109804</v>
      </c>
      <c r="L60" s="28">
        <f ca="1">'Financial Statements'!$L31*'Forecasted 3 Statements'!L$23</f>
        <v>44896.400158129269</v>
      </c>
      <c r="M60" s="28">
        <f ca="1">'Financial Statements'!$L31*'Forecasted 3 Statements'!M$23</f>
        <v>57371.003031967288</v>
      </c>
      <c r="N60" s="28">
        <f ca="1">'Financial Statements'!$L31*'Forecasted 3 Statements'!N$23</f>
        <v>70489.597752141533</v>
      </c>
      <c r="O60" s="28">
        <f ca="1">'Financial Statements'!$L31*'Forecasted 3 Statements'!O$23</f>
        <v>83140.49594555721</v>
      </c>
      <c r="P60" s="28">
        <f ca="1">'Financial Statements'!$L31*'Forecasted 3 Statements'!P$23</f>
        <v>93972.142044947686</v>
      </c>
      <c r="Q60" s="28">
        <f ca="1">'Financial Statements'!$L31*'Forecasted 3 Statements'!Q$23</f>
        <v>101592.40085025155</v>
      </c>
      <c r="R60" s="28">
        <f ca="1">'Financial Statements'!$L31*'Forecasted 3 Statements'!R$23</f>
        <v>104833.19843737457</v>
      </c>
      <c r="T60" s="20" t="s">
        <v>61</v>
      </c>
    </row>
    <row r="61" spans="1:31" ht="14.25" customHeight="1" x14ac:dyDescent="0.3">
      <c r="C61" s="7" t="s">
        <v>63</v>
      </c>
      <c r="D61" s="26">
        <v>17174</v>
      </c>
      <c r="E61" s="26">
        <v>20497</v>
      </c>
      <c r="F61" s="26">
        <v>23795</v>
      </c>
      <c r="G61" s="26">
        <v>32640</v>
      </c>
      <c r="H61" s="27">
        <v>34405</v>
      </c>
      <c r="I61" s="28">
        <f ca="1">'Financial Statements'!$L32*'Forecasted 3 Statements'!I$25</f>
        <v>40875.716376260913</v>
      </c>
      <c r="J61" s="28">
        <f ca="1">'Financial Statements'!$L32*'Forecasted 3 Statements'!J$25</f>
        <v>52408.987572024307</v>
      </c>
      <c r="K61" s="28">
        <f ca="1">'Financial Statements'!$L32*'Forecasted 3 Statements'!K$25</f>
        <v>72127.046641639492</v>
      </c>
      <c r="L61" s="28">
        <f ca="1">'Financial Statements'!$L32*'Forecasted 3 Statements'!L$25</f>
        <v>95715.742188650242</v>
      </c>
      <c r="M61" s="28">
        <f ca="1">'Financial Statements'!$L32*'Forecasted 3 Statements'!M$25</f>
        <v>122310.65555303225</v>
      </c>
      <c r="N61" s="28">
        <f ca="1">'Financial Statements'!$L32*'Forecasted 3 Statements'!N$25</f>
        <v>150278.51100894963</v>
      </c>
      <c r="O61" s="28">
        <f ca="1">'Financial Statements'!$L32*'Forecasted 3 Statements'!O$25</f>
        <v>177249.27271080032</v>
      </c>
      <c r="P61" s="28">
        <f ca="1">'Financial Statements'!$L32*'Forecasted 3 Statements'!P$25</f>
        <v>200341.52602902625</v>
      </c>
      <c r="Q61" s="28">
        <f ca="1">'Financial Statements'!$L32*'Forecasted 3 Statements'!Q$25</f>
        <v>216587.34361463037</v>
      </c>
      <c r="R61" s="28">
        <f ca="1">'Financial Statements'!$L32*'Forecasted 3 Statements'!R$25</f>
        <v>223496.47987593705</v>
      </c>
      <c r="T61" s="20" t="s">
        <v>64</v>
      </c>
    </row>
    <row r="62" spans="1:31" ht="14.25" customHeight="1" x14ac:dyDescent="0.3">
      <c r="C62" s="7" t="s">
        <v>65</v>
      </c>
      <c r="D62" s="26">
        <v>16677</v>
      </c>
      <c r="E62" s="26">
        <v>20816</v>
      </c>
      <c r="F62" s="26">
        <v>24542</v>
      </c>
      <c r="G62" s="26">
        <v>32891</v>
      </c>
      <c r="H62" s="27">
        <v>42360</v>
      </c>
      <c r="I62" s="28">
        <f ca="1">'Financial Statements'!$L33*'Forecasted 3 Statements'!I$23</f>
        <v>50326.852076686897</v>
      </c>
      <c r="J62" s="28">
        <f ca="1">'Financial Statements'!$L33*'Forecasted 3 Statements'!J$23</f>
        <v>64526.804637434951</v>
      </c>
      <c r="K62" s="28">
        <f ca="1">'Financial Statements'!$L33*'Forecasted 3 Statements'!K$23</f>
        <v>88804.002201419818</v>
      </c>
      <c r="L62" s="28">
        <f ca="1">'Financial Statements'!$L33*'Forecasted 3 Statements'!L$23</f>
        <v>117846.7908475868</v>
      </c>
      <c r="M62" s="28">
        <f ca="1">'Financial Statements'!$L33*'Forecasted 3 Statements'!M$23</f>
        <v>150590.88415132818</v>
      </c>
      <c r="N62" s="28">
        <f ca="1">'Financial Statements'!$L33*'Forecasted 3 Statements'!N$23</f>
        <v>185025.36626476113</v>
      </c>
      <c r="O62" s="28">
        <f ca="1">'Financial Statements'!$L33*'Forecasted 3 Statements'!O$23</f>
        <v>218232.21020286303</v>
      </c>
      <c r="P62" s="28">
        <f ca="1">'Financial Statements'!$L33*'Forecasted 3 Statements'!P$23</f>
        <v>246663.77103878948</v>
      </c>
      <c r="Q62" s="28">
        <f ca="1">'Financial Statements'!$L33*'Forecasted 3 Statements'!Q$23</f>
        <v>266665.88796732284</v>
      </c>
      <c r="R62" s="28">
        <f ca="1">'Financial Statements'!$L33*'Forecasted 3 Statements'!R$23</f>
        <v>275172.52979348041</v>
      </c>
      <c r="T62" s="20" t="s">
        <v>61</v>
      </c>
    </row>
    <row r="63" spans="1:31" ht="14.25" customHeight="1" x14ac:dyDescent="0.3">
      <c r="C63" s="7" t="s">
        <v>66</v>
      </c>
      <c r="D63" s="26">
        <v>61797</v>
      </c>
      <c r="E63" s="26">
        <v>72705</v>
      </c>
      <c r="F63" s="26">
        <v>113114</v>
      </c>
      <c r="G63" s="26">
        <v>160281</v>
      </c>
      <c r="H63" s="27">
        <v>186715</v>
      </c>
      <c r="I63" s="28">
        <f ca="1">'Financial Statements'!$O$34*I$23</f>
        <v>185875.31108379923</v>
      </c>
      <c r="J63" s="28">
        <f ca="1">'Financial Statements'!$O$34*J$23</f>
        <v>238320.88418625254</v>
      </c>
      <c r="K63" s="28">
        <f ca="1">'Financial Statements'!$O$34*K$23</f>
        <v>327985.37666379608</v>
      </c>
      <c r="L63" s="28">
        <f ca="1">'Financial Statements'!$O$34*L$23</f>
        <v>435250.92480738874</v>
      </c>
      <c r="M63" s="28">
        <f ca="1">'Financial Statements'!$O$34*M$23</f>
        <v>556186.73298620514</v>
      </c>
      <c r="N63" s="28">
        <f ca="1">'Financial Statements'!$O$34*N$23</f>
        <v>683365.75990191428</v>
      </c>
      <c r="O63" s="28">
        <f ca="1">'Financial Statements'!$O$34*O$23</f>
        <v>806010.67394701682</v>
      </c>
      <c r="P63" s="28">
        <f ca="1">'Financial Statements'!$O$34*P$23</f>
        <v>911018.73618232319</v>
      </c>
      <c r="Q63" s="28">
        <f ca="1">'Financial Statements'!$O$34*Q$23</f>
        <v>984893.80591170769</v>
      </c>
      <c r="R63" s="28">
        <f ca="1">'Financial Statements'!$O$34*R$23</f>
        <v>1016311.9183202912</v>
      </c>
      <c r="T63" s="20" t="s">
        <v>67</v>
      </c>
    </row>
    <row r="64" spans="1:31" ht="14.25" customHeight="1" x14ac:dyDescent="0.3">
      <c r="C64" s="7" t="s">
        <v>68</v>
      </c>
      <c r="D64" s="26">
        <v>0</v>
      </c>
      <c r="E64" s="26">
        <v>25141</v>
      </c>
      <c r="F64" s="26">
        <v>37553</v>
      </c>
      <c r="G64" s="26">
        <v>56082</v>
      </c>
      <c r="H64" s="27">
        <v>66123</v>
      </c>
      <c r="I64" s="28">
        <f ca="1">'Financial Statements'!$L35*'Forecasted 3 Statements'!I$23</f>
        <v>78559.075539819823</v>
      </c>
      <c r="J64" s="28">
        <f ca="1">'Financial Statements'!$L35*'Forecasted 3 Statements'!J$23</f>
        <v>100724.87967519149</v>
      </c>
      <c r="K64" s="28">
        <f ca="1">'Financial Statements'!$L35*'Forecasted 3 Statements'!K$23</f>
        <v>138621.03488112567</v>
      </c>
      <c r="L64" s="28">
        <f ca="1">'Financial Statements'!$L35*'Forecasted 3 Statements'!L$23</f>
        <v>183956.16976428195</v>
      </c>
      <c r="M64" s="28">
        <f ca="1">'Financial Statements'!$L35*'Forecasted 3 Statements'!M$23</f>
        <v>235068.95733565334</v>
      </c>
      <c r="N64" s="28">
        <f ca="1">'Financial Statements'!$L35*'Forecasted 3 Statements'!N$23</f>
        <v>288820.40352985839</v>
      </c>
      <c r="O64" s="28">
        <f ca="1">'Financial Statements'!$L35*'Forecasted 3 Statements'!O$23</f>
        <v>340655.5343542</v>
      </c>
      <c r="P64" s="28">
        <f ca="1">'Financial Statements'!$L35*'Forecasted 3 Statements'!P$23</f>
        <v>385036.55647775915</v>
      </c>
      <c r="Q64" s="28">
        <f ca="1">'Financial Statements'!$L35*'Forecasted 3 Statements'!Q$23</f>
        <v>416259.40769743366</v>
      </c>
      <c r="R64" s="28">
        <f ca="1">'Financial Statements'!$L35*'Forecasted 3 Statements'!R$23</f>
        <v>429538.08280298178</v>
      </c>
      <c r="T64" s="20" t="s">
        <v>61</v>
      </c>
    </row>
    <row r="65" spans="3:20" ht="14.25" customHeight="1" x14ac:dyDescent="0.3">
      <c r="C65" s="7" t="s">
        <v>69</v>
      </c>
      <c r="D65" s="26">
        <v>14548</v>
      </c>
      <c r="E65" s="26">
        <v>14754</v>
      </c>
      <c r="F65" s="26">
        <v>15017</v>
      </c>
      <c r="G65" s="26">
        <v>15371</v>
      </c>
      <c r="H65" s="27">
        <v>20288</v>
      </c>
      <c r="I65" s="28">
        <f t="shared" ref="I65:R65" si="39">H65</f>
        <v>20288</v>
      </c>
      <c r="J65" s="28">
        <f t="shared" si="39"/>
        <v>20288</v>
      </c>
      <c r="K65" s="28">
        <f t="shared" si="39"/>
        <v>20288</v>
      </c>
      <c r="L65" s="28">
        <f t="shared" si="39"/>
        <v>20288</v>
      </c>
      <c r="M65" s="28">
        <f t="shared" si="39"/>
        <v>20288</v>
      </c>
      <c r="N65" s="28">
        <f t="shared" si="39"/>
        <v>20288</v>
      </c>
      <c r="O65" s="28">
        <f t="shared" si="39"/>
        <v>20288</v>
      </c>
      <c r="P65" s="28">
        <f t="shared" si="39"/>
        <v>20288</v>
      </c>
      <c r="Q65" s="28">
        <f t="shared" si="39"/>
        <v>20288</v>
      </c>
      <c r="R65" s="28">
        <f t="shared" si="39"/>
        <v>20288</v>
      </c>
      <c r="T65" s="20" t="s">
        <v>70</v>
      </c>
    </row>
    <row r="66" spans="3:20" ht="14.25" customHeight="1" x14ac:dyDescent="0.3">
      <c r="C66" s="7" t="s">
        <v>71</v>
      </c>
      <c r="D66" s="26">
        <v>11202</v>
      </c>
      <c r="E66" s="26">
        <v>16314</v>
      </c>
      <c r="F66" s="26">
        <v>22778</v>
      </c>
      <c r="G66" s="26">
        <v>27235</v>
      </c>
      <c r="H66" s="27">
        <v>42758</v>
      </c>
      <c r="I66" s="28">
        <f ca="1">'Financial Statements'!$L37*'Forecasted 3 Statements'!I$23</f>
        <v>50799.705880429137</v>
      </c>
      <c r="J66" s="28">
        <f ca="1">'Financial Statements'!$L37*'Forecasted 3 Statements'!J$23</f>
        <v>65133.076314623322</v>
      </c>
      <c r="K66" s="28">
        <f ca="1">'Financial Statements'!$L37*'Forecasted 3 Statements'!K$23</f>
        <v>89638.374082349124</v>
      </c>
      <c r="L66" s="28">
        <f ca="1">'Financial Statements'!$L37*'Forecasted 3 Statements'!L$23</f>
        <v>118954.03878803393</v>
      </c>
      <c r="M66" s="28">
        <f ca="1">'Financial Statements'!$L37*'Forecasted 3 Statements'!M$23</f>
        <v>152005.78433764144</v>
      </c>
      <c r="N66" s="28">
        <f ca="1">'Financial Statements'!$L37*'Forecasted 3 Statements'!N$23</f>
        <v>186763.80100917511</v>
      </c>
      <c r="O66" s="28">
        <f ca="1">'Financial Statements'!$L37*'Forecasted 3 Statements'!O$23</f>
        <v>220282.64503904668</v>
      </c>
      <c r="P66" s="28">
        <f ca="1">'Financial Statements'!$L37*'Forecasted 3 Statements'!P$23</f>
        <v>248981.33904807747</v>
      </c>
      <c r="Q66" s="28">
        <f ca="1">'Financial Statements'!$L37*'Forecasted 3 Statements'!Q$23</f>
        <v>269171.38899213384</v>
      </c>
      <c r="R66" s="28">
        <f ca="1">'Financial Statements'!$L37*'Forecasted 3 Statements'!R$23</f>
        <v>277757.95630098291</v>
      </c>
      <c r="T66" s="20" t="s">
        <v>61</v>
      </c>
    </row>
    <row r="67" spans="3:20" ht="14.25" customHeight="1" x14ac:dyDescent="0.3">
      <c r="C67" s="66" t="s">
        <v>72</v>
      </c>
      <c r="D67" s="37">
        <f t="shared" ref="D67:R67" si="40">SUM(D59:D66)</f>
        <v>162648</v>
      </c>
      <c r="E67" s="37">
        <f t="shared" si="40"/>
        <v>225248</v>
      </c>
      <c r="F67" s="37">
        <f t="shared" si="40"/>
        <v>321195</v>
      </c>
      <c r="G67" s="37">
        <f t="shared" si="40"/>
        <v>420549</v>
      </c>
      <c r="H67" s="38">
        <f t="shared" si="40"/>
        <v>462675</v>
      </c>
      <c r="I67" s="67">
        <f t="shared" ca="1" si="40"/>
        <v>509920.79276818765</v>
      </c>
      <c r="J67" s="67">
        <f t="shared" ca="1" si="40"/>
        <v>648072.93506590952</v>
      </c>
      <c r="K67" s="67">
        <f t="shared" ca="1" si="40"/>
        <v>884267.16445514199</v>
      </c>
      <c r="L67" s="67">
        <f t="shared" ca="1" si="40"/>
        <v>1166826.0992546082</v>
      </c>
      <c r="M67" s="67">
        <f t="shared" ca="1" si="40"/>
        <v>1485395.236591927</v>
      </c>
      <c r="N67" s="67">
        <f t="shared" ca="1" si="40"/>
        <v>1820410.2623486568</v>
      </c>
      <c r="O67" s="67">
        <f t="shared" ca="1" si="40"/>
        <v>2143481.5268031643</v>
      </c>
      <c r="P67" s="67">
        <f t="shared" ca="1" si="40"/>
        <v>2420093.7916362747</v>
      </c>
      <c r="Q67" s="67">
        <f t="shared" ca="1" si="40"/>
        <v>2614695.5195184443</v>
      </c>
      <c r="R67" s="67">
        <f t="shared" ca="1" si="40"/>
        <v>2697457.1193910823</v>
      </c>
    </row>
    <row r="68" spans="3:20" ht="14.25" customHeight="1" x14ac:dyDescent="0.3">
      <c r="C68" s="47"/>
      <c r="D68" s="68"/>
      <c r="E68" s="68"/>
      <c r="F68" s="68"/>
      <c r="G68" s="68"/>
      <c r="H68" s="69"/>
      <c r="I68" s="68"/>
      <c r="J68" s="28"/>
      <c r="K68" s="28"/>
      <c r="L68" s="28"/>
      <c r="M68" s="28"/>
      <c r="N68" s="28"/>
      <c r="O68" s="28"/>
      <c r="P68" s="28"/>
      <c r="Q68" s="28"/>
      <c r="R68" s="28"/>
    </row>
    <row r="69" spans="3:20" ht="14.25" customHeight="1" x14ac:dyDescent="0.3">
      <c r="C69" s="47" t="s">
        <v>73</v>
      </c>
      <c r="D69" s="26">
        <v>38192</v>
      </c>
      <c r="E69" s="26">
        <v>47183</v>
      </c>
      <c r="F69" s="26">
        <v>72539</v>
      </c>
      <c r="G69" s="26">
        <v>78664</v>
      </c>
      <c r="H69" s="27">
        <v>79600</v>
      </c>
      <c r="I69" s="28">
        <f ca="1">'Financial Statements'!$L40*'Forecasted 3 Statements'!I$25</f>
        <v>94570.760748448447</v>
      </c>
      <c r="J69" s="28">
        <f ca="1">'Financial Statements'!$L40*'Forecasted 3 Statements'!J$25</f>
        <v>121254.33543767285</v>
      </c>
      <c r="K69" s="28">
        <f ca="1">'Financial Statements'!$L40*'Forecasted 3 Statements'!K$25</f>
        <v>166874.3761858597</v>
      </c>
      <c r="L69" s="28">
        <f ca="1">'Financial Statements'!$L40*'Forecasted 3 Statements'!L$25</f>
        <v>221449.58808942186</v>
      </c>
      <c r="M69" s="28">
        <f ca="1">'Financial Statements'!$L40*'Forecasted 3 Statements'!M$25</f>
        <v>282980.03726264695</v>
      </c>
      <c r="N69" s="28">
        <f ca="1">'Financial Statements'!$L40*'Forecasted 3 Statements'!N$25</f>
        <v>347686.94888279005</v>
      </c>
      <c r="O69" s="28">
        <f ca="1">'Financial Statements'!$L40*'Forecasted 3 Statements'!O$25</f>
        <v>410086.96723673033</v>
      </c>
      <c r="P69" s="28">
        <f ca="1">'Financial Statements'!$L40*'Forecasted 3 Statements'!P$25</f>
        <v>463513.60185759311</v>
      </c>
      <c r="Q69" s="28">
        <f ca="1">'Financial Statements'!$L40*'Forecasted 3 Statements'!Q$25</f>
        <v>501100.20496220246</v>
      </c>
      <c r="R69" s="28">
        <f ca="1">'Financial Statements'!$L40*'Forecasted 3 Statements'!R$25</f>
        <v>517085.30150049675</v>
      </c>
      <c r="T69" s="20" t="s">
        <v>64</v>
      </c>
    </row>
    <row r="70" spans="3:20" ht="14.25" customHeight="1" x14ac:dyDescent="0.3">
      <c r="C70" s="47" t="s">
        <v>74</v>
      </c>
      <c r="D70" s="26">
        <v>23663</v>
      </c>
      <c r="E70" s="26">
        <v>32439</v>
      </c>
      <c r="F70" s="26">
        <v>44138</v>
      </c>
      <c r="G70" s="26">
        <v>51775</v>
      </c>
      <c r="H70" s="27">
        <v>62566</v>
      </c>
      <c r="I70" s="28">
        <f ca="1">'Financial Statements'!$L41*'Forecasted 3 Statements'!I$23</f>
        <v>74333.09317823399</v>
      </c>
      <c r="J70" s="28">
        <f ca="1">'Financial Statements'!$L41*'Forecasted 3 Statements'!J$23</f>
        <v>95306.516972279394</v>
      </c>
      <c r="K70" s="28">
        <f ca="1">'Financial Statements'!$L41*'Forecasted 3 Statements'!K$23</f>
        <v>131164.09824679018</v>
      </c>
      <c r="L70" s="28">
        <f ca="1">'Financial Statements'!$L41*'Forecasted 3 Statements'!L$23</f>
        <v>174060.48905028604</v>
      </c>
      <c r="M70" s="28">
        <f ca="1">'Financial Statements'!$L41*'Forecasted 3 Statements'!M$23</f>
        <v>222423.73129867797</v>
      </c>
      <c r="N70" s="28">
        <f ca="1">'Financial Statements'!$L41*'Forecasted 3 Statements'!N$23</f>
        <v>273283.68899247039</v>
      </c>
      <c r="O70" s="28">
        <f ca="1">'Financial Statements'!$L41*'Forecasted 3 Statements'!O$23</f>
        <v>322330.41698659887</v>
      </c>
      <c r="P70" s="28">
        <f ca="1">'Financial Statements'!$L41*'Forecasted 3 Statements'!P$23</f>
        <v>364324.0202741478</v>
      </c>
      <c r="Q70" s="28">
        <f ca="1">'Financial Statements'!$L41*'Forecasted 3 Statements'!Q$23</f>
        <v>393867.27919177338</v>
      </c>
      <c r="R70" s="28">
        <f ca="1">'Financial Statements'!$L41*'Forecasted 3 Statements'!R$23</f>
        <v>406431.64539799094</v>
      </c>
      <c r="T70" s="20" t="s">
        <v>61</v>
      </c>
    </row>
    <row r="71" spans="3:20" ht="14.25" customHeight="1" x14ac:dyDescent="0.3">
      <c r="C71" s="47" t="s">
        <v>75</v>
      </c>
      <c r="D71" s="26">
        <v>6536</v>
      </c>
      <c r="E71" s="26">
        <v>8190</v>
      </c>
      <c r="F71" s="26">
        <v>9708</v>
      </c>
      <c r="G71" s="26">
        <v>11827</v>
      </c>
      <c r="H71" s="27">
        <v>13227</v>
      </c>
      <c r="I71" s="28">
        <f ca="1">'Financial Statements'!$L42*'Forecasted 3 Statements'!I$23</f>
        <v>15714.666487685023</v>
      </c>
      <c r="J71" s="28">
        <f ca="1">'Financial Statements'!$L42*'Forecasted 3 Statements'!J$23</f>
        <v>20148.631844649484</v>
      </c>
      <c r="K71" s="28">
        <f ca="1">'Financial Statements'!$L42*'Forecasted 3 Statements'!K$23</f>
        <v>27729.238364451841</v>
      </c>
      <c r="L71" s="28">
        <f ca="1">'Financial Statements'!$L42*'Forecasted 3 Statements'!L$23</f>
        <v>36797.910824859086</v>
      </c>
      <c r="M71" s="28">
        <f ca="1">'Financial Statements'!$L42*'Forecasted 3 Statements'!M$23</f>
        <v>47022.323528555666</v>
      </c>
      <c r="N71" s="28">
        <f ca="1">'Financial Statements'!$L42*'Forecasted 3 Statements'!N$23</f>
        <v>57774.563729556088</v>
      </c>
      <c r="O71" s="28">
        <f ca="1">'Financial Statements'!$L42*'Forecasted 3 Statements'!O$23</f>
        <v>68143.471302012971</v>
      </c>
      <c r="P71" s="28">
        <f ca="1">'Financial Statements'!$L42*'Forecasted 3 Statements'!P$23</f>
        <v>77021.286580029948</v>
      </c>
      <c r="Q71" s="28">
        <f ca="1">'Financial Statements'!$L42*'Forecasted 3 Statements'!Q$23</f>
        <v>83266.990088380058</v>
      </c>
      <c r="R71" s="28">
        <f ca="1">'Financial Statements'!$L42*'Forecasted 3 Statements'!R$23</f>
        <v>85923.20707219938</v>
      </c>
      <c r="T71" s="20" t="s">
        <v>61</v>
      </c>
    </row>
    <row r="72" spans="3:20" ht="14.25" customHeight="1" x14ac:dyDescent="0.3">
      <c r="C72" s="52" t="s">
        <v>76</v>
      </c>
      <c r="D72" s="53">
        <f t="shared" ref="D72:R72" si="41">SUM(D69:D71)</f>
        <v>68391</v>
      </c>
      <c r="E72" s="53">
        <f t="shared" si="41"/>
        <v>87812</v>
      </c>
      <c r="F72" s="53">
        <f t="shared" si="41"/>
        <v>126385</v>
      </c>
      <c r="G72" s="53">
        <f t="shared" si="41"/>
        <v>142266</v>
      </c>
      <c r="H72" s="54">
        <f t="shared" si="41"/>
        <v>155393</v>
      </c>
      <c r="I72" s="70">
        <f t="shared" ca="1" si="41"/>
        <v>184618.52041436746</v>
      </c>
      <c r="J72" s="70">
        <f t="shared" ca="1" si="41"/>
        <v>236709.48425460176</v>
      </c>
      <c r="K72" s="70">
        <f t="shared" ca="1" si="41"/>
        <v>325767.71279710176</v>
      </c>
      <c r="L72" s="70">
        <f t="shared" ca="1" si="41"/>
        <v>432307.98796456697</v>
      </c>
      <c r="M72" s="70">
        <f t="shared" ca="1" si="41"/>
        <v>552426.09208988061</v>
      </c>
      <c r="N72" s="70">
        <f t="shared" ca="1" si="41"/>
        <v>678745.20160481648</v>
      </c>
      <c r="O72" s="70">
        <f t="shared" ca="1" si="41"/>
        <v>800560.85552534205</v>
      </c>
      <c r="P72" s="70">
        <f t="shared" ca="1" si="41"/>
        <v>904858.9087117709</v>
      </c>
      <c r="Q72" s="70">
        <f t="shared" ca="1" si="41"/>
        <v>978234.47424235591</v>
      </c>
      <c r="R72" s="70">
        <f t="shared" ca="1" si="41"/>
        <v>1009440.153970687</v>
      </c>
    </row>
    <row r="73" spans="3:20" ht="14.25" customHeight="1" x14ac:dyDescent="0.3">
      <c r="C73" s="47" t="s">
        <v>77</v>
      </c>
      <c r="D73" s="26">
        <v>23495</v>
      </c>
      <c r="E73" s="26">
        <v>23414</v>
      </c>
      <c r="F73" s="26">
        <v>31816</v>
      </c>
      <c r="G73" s="26">
        <v>48744</v>
      </c>
      <c r="H73" s="27">
        <v>67150</v>
      </c>
      <c r="I73" s="28">
        <f ca="1">I$67*'Financial Statements'!$L$44</f>
        <v>74006.983810198944</v>
      </c>
      <c r="J73" s="28">
        <f ca="1">J$67*'Financial Statements'!$L$44</f>
        <v>94057.594617551891</v>
      </c>
      <c r="K73" s="28">
        <f ca="1">K$67*'Financial Statements'!$L$44</f>
        <v>128337.47250913229</v>
      </c>
      <c r="L73" s="28">
        <f ca="1">L$67*'Financial Statements'!$L$44</f>
        <v>169346.45823730898</v>
      </c>
      <c r="M73" s="28">
        <f ca="1">M$67*'Financial Statements'!$L$44</f>
        <v>215581.7585500576</v>
      </c>
      <c r="N73" s="28">
        <f ca="1">N$67*'Financial Statements'!$L$44</f>
        <v>264203.92093091761</v>
      </c>
      <c r="O73" s="28">
        <f ca="1">O$67*'Financial Statements'!$L$44</f>
        <v>311092.63419210562</v>
      </c>
      <c r="P73" s="28">
        <f ca="1">P$67*'Financial Statements'!$L$44</f>
        <v>351238.55429486319</v>
      </c>
      <c r="Q73" s="28">
        <f ca="1">Q$67*'Financial Statements'!$L$44</f>
        <v>379481.93469641439</v>
      </c>
      <c r="R73" s="28">
        <f ca="1">R$67*'Financial Statements'!$L$44</f>
        <v>391493.47936912772</v>
      </c>
      <c r="T73" s="20" t="s">
        <v>78</v>
      </c>
    </row>
    <row r="74" spans="3:20" ht="14.25" customHeight="1" x14ac:dyDescent="0.3">
      <c r="C74" s="47" t="s">
        <v>79</v>
      </c>
      <c r="D74" s="26">
        <v>9650</v>
      </c>
      <c r="E74" s="26">
        <v>39791</v>
      </c>
      <c r="F74" s="26">
        <v>52573</v>
      </c>
      <c r="G74" s="26">
        <v>67651</v>
      </c>
      <c r="H74" s="27">
        <v>72968</v>
      </c>
      <c r="I74" s="28">
        <f ca="1">'Financial Statements'!$L45*'Forecasted 3 Statements'!I$23</f>
        <v>86691.448119256122</v>
      </c>
      <c r="J74" s="28">
        <f ca="1">'Financial Statements'!$L45*'Forecasted 3 Statements'!J$23</f>
        <v>111151.83854542856</v>
      </c>
      <c r="K74" s="28">
        <f ca="1">'Financial Statements'!$L45*'Forecasted 3 Statements'!K$23</f>
        <v>152970.97338605291</v>
      </c>
      <c r="L74" s="28">
        <f ca="1">'Financial Statements'!$L45*'Forecasted 3 Statements'!L$23</f>
        <v>202999.16512197154</v>
      </c>
      <c r="M74" s="28">
        <f ca="1">'Financial Statements'!$L45*'Forecasted 3 Statements'!M$23</f>
        <v>259403.10752488469</v>
      </c>
      <c r="N74" s="28">
        <f ca="1">'Financial Statements'!$L45*'Forecasted 3 Statements'!N$23</f>
        <v>318718.86037788226</v>
      </c>
      <c r="O74" s="28">
        <f ca="1">'Financial Statements'!$L45*'Forecasted 3 Statements'!O$23</f>
        <v>375919.92242876557</v>
      </c>
      <c r="P74" s="28">
        <f ca="1">'Financial Statements'!$L45*'Forecasted 3 Statements'!P$23</f>
        <v>424895.2324163926</v>
      </c>
      <c r="Q74" s="28">
        <f ca="1">'Financial Statements'!$L45*'Forecasted 3 Statements'!Q$23</f>
        <v>459350.24818695971</v>
      </c>
      <c r="R74" s="28">
        <f ca="1">'Financial Statements'!$L45*'Forecasted 3 Statements'!R$23</f>
        <v>474003.52110412373</v>
      </c>
      <c r="T74" s="20" t="s">
        <v>61</v>
      </c>
    </row>
    <row r="75" spans="3:20" ht="14.25" customHeight="1" x14ac:dyDescent="0.3">
      <c r="C75" s="47" t="s">
        <v>80</v>
      </c>
      <c r="D75" s="26">
        <v>17563</v>
      </c>
      <c r="E75" s="26">
        <v>12171</v>
      </c>
      <c r="F75" s="26">
        <v>17017</v>
      </c>
      <c r="G75" s="26">
        <v>23643</v>
      </c>
      <c r="H75" s="27">
        <v>21121</v>
      </c>
      <c r="I75" s="28">
        <f ca="1">I$23*'Financial Statements'!$L46</f>
        <v>27876.035744701232</v>
      </c>
      <c r="J75" s="28">
        <f ca="1">J$23*'Financial Statements'!$L46</f>
        <v>35741.387317919151</v>
      </c>
      <c r="K75" s="28">
        <f ca="1">K$23*'Financial Statements'!$L46</f>
        <v>49188.523372516735</v>
      </c>
      <c r="L75" s="28">
        <f ca="1">L$23*'Financial Statements'!$L46</f>
        <v>65275.319605921279</v>
      </c>
      <c r="M75" s="28">
        <f ca="1">M$23*'Financial Statements'!$L46</f>
        <v>83412.267928698566</v>
      </c>
      <c r="N75" s="28">
        <f ca="1">N$23*'Financial Statements'!$L46</f>
        <v>102485.52235720253</v>
      </c>
      <c r="O75" s="28">
        <f ca="1">O$23*'Financial Statements'!$L46</f>
        <v>120878.78818628163</v>
      </c>
      <c r="P75" s="28">
        <f ca="1">P$23*'Financial Statements'!$L46</f>
        <v>136627.02542814706</v>
      </c>
      <c r="Q75" s="28">
        <f ca="1">Q$23*'Financial Statements'!$L46</f>
        <v>147706.19496610787</v>
      </c>
      <c r="R75" s="28">
        <f ca="1">R$23*'Financial Statements'!$L46</f>
        <v>152418.02258552672</v>
      </c>
      <c r="T75" s="20" t="s">
        <v>78</v>
      </c>
    </row>
    <row r="76" spans="3:20" ht="14.25" customHeight="1" x14ac:dyDescent="0.3">
      <c r="C76" s="52" t="s">
        <v>81</v>
      </c>
      <c r="D76" s="53">
        <f t="shared" ref="D76:R76" si="42">SUM(D73:D75)</f>
        <v>50708</v>
      </c>
      <c r="E76" s="53">
        <f t="shared" si="42"/>
        <v>75376</v>
      </c>
      <c r="F76" s="53">
        <f t="shared" si="42"/>
        <v>101406</v>
      </c>
      <c r="G76" s="53">
        <f t="shared" si="42"/>
        <v>140038</v>
      </c>
      <c r="H76" s="54">
        <f t="shared" si="42"/>
        <v>161239</v>
      </c>
      <c r="I76" s="70">
        <f t="shared" ca="1" si="42"/>
        <v>188574.4676741563</v>
      </c>
      <c r="J76" s="70">
        <f t="shared" ca="1" si="42"/>
        <v>240950.82048089959</v>
      </c>
      <c r="K76" s="70">
        <f t="shared" ca="1" si="42"/>
        <v>330496.96926770196</v>
      </c>
      <c r="L76" s="70">
        <f t="shared" ca="1" si="42"/>
        <v>437620.9429652018</v>
      </c>
      <c r="M76" s="70">
        <f t="shared" ca="1" si="42"/>
        <v>558397.13400364085</v>
      </c>
      <c r="N76" s="70">
        <f t="shared" ca="1" si="42"/>
        <v>685408.30366600235</v>
      </c>
      <c r="O76" s="70">
        <f t="shared" ca="1" si="42"/>
        <v>807891.34480715287</v>
      </c>
      <c r="P76" s="70">
        <f t="shared" ca="1" si="42"/>
        <v>912760.81213940284</v>
      </c>
      <c r="Q76" s="70">
        <f t="shared" ca="1" si="42"/>
        <v>986538.377849482</v>
      </c>
      <c r="R76" s="70">
        <f t="shared" ca="1" si="42"/>
        <v>1017915.0230587781</v>
      </c>
      <c r="T76" s="20"/>
    </row>
    <row r="77" spans="3:20" ht="14.25" customHeight="1" x14ac:dyDescent="0.3">
      <c r="C77" s="66" t="s">
        <v>82</v>
      </c>
      <c r="D77" s="37">
        <f t="shared" ref="D77:R77" si="43">D72+D76</f>
        <v>119099</v>
      </c>
      <c r="E77" s="37">
        <f t="shared" si="43"/>
        <v>163188</v>
      </c>
      <c r="F77" s="37">
        <f t="shared" si="43"/>
        <v>227791</v>
      </c>
      <c r="G77" s="37">
        <f t="shared" si="43"/>
        <v>282304</v>
      </c>
      <c r="H77" s="38">
        <f t="shared" si="43"/>
        <v>316632</v>
      </c>
      <c r="I77" s="67">
        <f t="shared" ca="1" si="43"/>
        <v>373192.98808852374</v>
      </c>
      <c r="J77" s="67">
        <f t="shared" ca="1" si="43"/>
        <v>477660.30473550136</v>
      </c>
      <c r="K77" s="67">
        <f t="shared" ca="1" si="43"/>
        <v>656264.68206480378</v>
      </c>
      <c r="L77" s="67">
        <f t="shared" ca="1" si="43"/>
        <v>869928.93092976883</v>
      </c>
      <c r="M77" s="67">
        <f t="shared" ca="1" si="43"/>
        <v>1110823.2260935213</v>
      </c>
      <c r="N77" s="67">
        <f t="shared" ca="1" si="43"/>
        <v>1364153.5052708187</v>
      </c>
      <c r="O77" s="67">
        <f t="shared" ca="1" si="43"/>
        <v>1608452.2003324949</v>
      </c>
      <c r="P77" s="67">
        <f t="shared" ca="1" si="43"/>
        <v>1817619.7208511736</v>
      </c>
      <c r="Q77" s="67">
        <f t="shared" ca="1" si="43"/>
        <v>1964772.8520918379</v>
      </c>
      <c r="R77" s="67">
        <f t="shared" ca="1" si="43"/>
        <v>2027355.1770294651</v>
      </c>
      <c r="T77" s="20"/>
    </row>
    <row r="78" spans="3:20" ht="14.25" customHeight="1" x14ac:dyDescent="0.3">
      <c r="C78" s="52"/>
      <c r="D78" s="53"/>
      <c r="E78" s="53"/>
      <c r="F78" s="53"/>
      <c r="G78" s="53"/>
      <c r="H78" s="54"/>
      <c r="I78" s="28"/>
      <c r="J78" s="28"/>
      <c r="K78" s="28"/>
      <c r="L78" s="28"/>
      <c r="M78" s="28"/>
      <c r="N78" s="28"/>
      <c r="O78" s="28"/>
      <c r="P78" s="28"/>
      <c r="Q78" s="28"/>
      <c r="R78" s="28"/>
      <c r="T78" s="20"/>
    </row>
    <row r="79" spans="3:20" ht="14.25" customHeight="1" x14ac:dyDescent="0.3">
      <c r="C79" s="47" t="s">
        <v>83</v>
      </c>
      <c r="D79" s="26">
        <v>5</v>
      </c>
      <c r="E79" s="26">
        <v>5</v>
      </c>
      <c r="F79" s="26">
        <v>5</v>
      </c>
      <c r="G79" s="26">
        <v>106</v>
      </c>
      <c r="H79" s="27">
        <v>108</v>
      </c>
      <c r="I79" s="28"/>
      <c r="J79" s="28"/>
      <c r="K79" s="28"/>
      <c r="L79" s="28"/>
      <c r="M79" s="28"/>
      <c r="N79" s="28"/>
      <c r="O79" s="28"/>
      <c r="P79" s="28"/>
      <c r="Q79" s="28"/>
      <c r="R79" s="28"/>
      <c r="T79" s="20"/>
    </row>
    <row r="80" spans="3:20" ht="15.75" customHeight="1" x14ac:dyDescent="0.3">
      <c r="C80" s="47" t="s">
        <v>84</v>
      </c>
      <c r="D80" s="26">
        <v>26791</v>
      </c>
      <c r="E80" s="26">
        <v>33658</v>
      </c>
      <c r="F80" s="26">
        <v>42865</v>
      </c>
      <c r="G80" s="26">
        <v>55437</v>
      </c>
      <c r="H80" s="27">
        <v>75066</v>
      </c>
      <c r="I80" s="28"/>
      <c r="J80" s="28"/>
      <c r="K80" s="28"/>
      <c r="L80" s="28"/>
      <c r="M80" s="28"/>
      <c r="N80" s="28"/>
      <c r="O80" s="28"/>
      <c r="P80" s="28"/>
      <c r="Q80" s="28"/>
      <c r="R80" s="28"/>
      <c r="T80" s="20"/>
    </row>
    <row r="81" spans="2:20" ht="15.75" customHeight="1" x14ac:dyDescent="0.3">
      <c r="C81" s="47" t="s">
        <v>85</v>
      </c>
      <c r="D81" s="26">
        <v>-1837</v>
      </c>
      <c r="E81" s="26">
        <v>-1837</v>
      </c>
      <c r="F81" s="26">
        <v>-1837</v>
      </c>
      <c r="G81" s="26">
        <v>-1837</v>
      </c>
      <c r="H81" s="27">
        <v>-7837</v>
      </c>
      <c r="I81" s="28"/>
      <c r="J81" s="28"/>
      <c r="K81" s="28"/>
      <c r="L81" s="28"/>
      <c r="M81" s="28"/>
      <c r="N81" s="28"/>
      <c r="O81" s="28"/>
      <c r="P81" s="28"/>
      <c r="Q81" s="28"/>
      <c r="R81" s="28"/>
      <c r="T81" s="20"/>
    </row>
    <row r="82" spans="2:20" ht="15.75" customHeight="1" x14ac:dyDescent="0.3">
      <c r="C82" s="47" t="s">
        <v>86</v>
      </c>
      <c r="D82" s="53">
        <f t="shared" ref="D82:H82" si="44">SUM(D79:D81)</f>
        <v>24959</v>
      </c>
      <c r="E82" s="53">
        <f t="shared" si="44"/>
        <v>31826</v>
      </c>
      <c r="F82" s="53">
        <f t="shared" si="44"/>
        <v>41033</v>
      </c>
      <c r="G82" s="53">
        <f t="shared" si="44"/>
        <v>53706</v>
      </c>
      <c r="H82" s="54">
        <f t="shared" si="44"/>
        <v>67337</v>
      </c>
      <c r="I82" s="55">
        <f ca="1">Schedules!H89</f>
        <v>18014.040380713879</v>
      </c>
      <c r="J82" s="55">
        <f ca="1">Schedules!I89</f>
        <v>385.63078516465612</v>
      </c>
      <c r="K82" s="55">
        <f ca="1">Schedules!J89</f>
        <v>-12524.874222750892</v>
      </c>
      <c r="L82" s="55">
        <f ca="1">Schedules!K89</f>
        <v>-36908.15819522785</v>
      </c>
      <c r="M82" s="55">
        <f ca="1">Schedules!L89</f>
        <v>-78101.649950446794</v>
      </c>
      <c r="N82" s="55">
        <f ca="1">Schedules!M89</f>
        <v>-142289.7070303713</v>
      </c>
      <c r="O82" s="55">
        <f ca="1">Schedules!N89</f>
        <v>-235375.66451618774</v>
      </c>
      <c r="P82" s="55">
        <f ca="1">Schedules!O89</f>
        <v>-361965.3379064952</v>
      </c>
      <c r="Q82" s="55">
        <f ca="1">Schedules!P89</f>
        <v>-524052.95165863587</v>
      </c>
      <c r="R82" s="55">
        <f ca="1">Schedules!Q89</f>
        <v>-719847.58944428014</v>
      </c>
      <c r="T82" s="20" t="s">
        <v>87</v>
      </c>
    </row>
    <row r="83" spans="2:20" ht="15.75" customHeight="1" x14ac:dyDescent="0.3">
      <c r="C83" s="47" t="s">
        <v>88</v>
      </c>
      <c r="D83" s="26">
        <v>19625</v>
      </c>
      <c r="E83" s="26">
        <v>31220</v>
      </c>
      <c r="F83" s="26">
        <v>52551</v>
      </c>
      <c r="G83" s="26">
        <v>85915</v>
      </c>
      <c r="H83" s="27">
        <v>83193</v>
      </c>
      <c r="I83" s="28">
        <f ca="1">Schedules!H81</f>
        <v>123200.76429895003</v>
      </c>
      <c r="J83" s="28">
        <f ca="1">Schedules!I81</f>
        <v>174513.99954524345</v>
      </c>
      <c r="K83" s="28">
        <f ca="1">Schedules!J81</f>
        <v>245014.35661308916</v>
      </c>
      <c r="L83" s="28">
        <f ca="1">Schedules!K81</f>
        <v>338292.32652006723</v>
      </c>
      <c r="M83" s="28">
        <f ca="1">Schedules!L81</f>
        <v>457160.66044885258</v>
      </c>
      <c r="N83" s="28">
        <f ca="1">Schedules!M81</f>
        <v>603033.46410820936</v>
      </c>
      <c r="O83" s="28">
        <f ca="1">Schedules!N81</f>
        <v>774891.9909868571</v>
      </c>
      <c r="P83" s="28">
        <f ca="1">Schedules!O81</f>
        <v>968926.40869159601</v>
      </c>
      <c r="Q83" s="28">
        <f ca="1">Schedules!P81</f>
        <v>1178462.6190852423</v>
      </c>
      <c r="R83" s="28">
        <f ca="1">Schedules!Q81</f>
        <v>1394436.5318058976</v>
      </c>
      <c r="T83" s="20" t="s">
        <v>89</v>
      </c>
    </row>
    <row r="84" spans="2:20" ht="15.75" customHeight="1" x14ac:dyDescent="0.3">
      <c r="C84" s="47" t="s">
        <v>90</v>
      </c>
      <c r="D84" s="26">
        <v>-1035</v>
      </c>
      <c r="E84" s="26">
        <v>-986</v>
      </c>
      <c r="F84" s="26">
        <v>-180</v>
      </c>
      <c r="G84" s="26">
        <v>-1376</v>
      </c>
      <c r="H84" s="27">
        <v>-4487</v>
      </c>
      <c r="I84" s="28">
        <f t="shared" ref="I84:R84" si="45">H84</f>
        <v>-4487</v>
      </c>
      <c r="J84" s="28">
        <f t="shared" si="45"/>
        <v>-4487</v>
      </c>
      <c r="K84" s="28">
        <f t="shared" si="45"/>
        <v>-4487</v>
      </c>
      <c r="L84" s="28">
        <f t="shared" si="45"/>
        <v>-4487</v>
      </c>
      <c r="M84" s="28">
        <f t="shared" si="45"/>
        <v>-4487</v>
      </c>
      <c r="N84" s="28">
        <f t="shared" si="45"/>
        <v>-4487</v>
      </c>
      <c r="O84" s="28">
        <f t="shared" si="45"/>
        <v>-4487</v>
      </c>
      <c r="P84" s="28">
        <f t="shared" si="45"/>
        <v>-4487</v>
      </c>
      <c r="Q84" s="28">
        <f t="shared" si="45"/>
        <v>-4487</v>
      </c>
      <c r="R84" s="28">
        <f t="shared" si="45"/>
        <v>-4487</v>
      </c>
      <c r="T84" s="20" t="s">
        <v>91</v>
      </c>
    </row>
    <row r="85" spans="2:20" ht="14.25" customHeight="1" x14ac:dyDescent="0.3">
      <c r="C85" s="66" t="s">
        <v>92</v>
      </c>
      <c r="D85" s="37">
        <f t="shared" ref="D85:R85" si="46">D82+D83+D84</f>
        <v>43549</v>
      </c>
      <c r="E85" s="37">
        <f t="shared" si="46"/>
        <v>62060</v>
      </c>
      <c r="F85" s="37">
        <f t="shared" si="46"/>
        <v>93404</v>
      </c>
      <c r="G85" s="37">
        <f t="shared" si="46"/>
        <v>138245</v>
      </c>
      <c r="H85" s="38">
        <f t="shared" si="46"/>
        <v>146043</v>
      </c>
      <c r="I85" s="71">
        <f t="shared" ca="1" si="46"/>
        <v>136727.80467966391</v>
      </c>
      <c r="J85" s="71">
        <f t="shared" ca="1" si="46"/>
        <v>170412.63033040811</v>
      </c>
      <c r="K85" s="71">
        <f t="shared" ca="1" si="46"/>
        <v>228002.48239033826</v>
      </c>
      <c r="L85" s="71">
        <f t="shared" ca="1" si="46"/>
        <v>296897.16832483938</v>
      </c>
      <c r="M85" s="71">
        <f t="shared" ca="1" si="46"/>
        <v>374572.01049840578</v>
      </c>
      <c r="N85" s="71">
        <f t="shared" ca="1" si="46"/>
        <v>456256.75707783806</v>
      </c>
      <c r="O85" s="71">
        <f t="shared" ca="1" si="46"/>
        <v>535029.32647066936</v>
      </c>
      <c r="P85" s="71">
        <f t="shared" ca="1" si="46"/>
        <v>602474.0707851008</v>
      </c>
      <c r="Q85" s="71">
        <f t="shared" ca="1" si="46"/>
        <v>649922.66742660641</v>
      </c>
      <c r="R85" s="71">
        <f t="shared" ca="1" si="46"/>
        <v>670101.94236161746</v>
      </c>
      <c r="T85" s="20"/>
    </row>
    <row r="86" spans="2:20" ht="14.25" customHeight="1" x14ac:dyDescent="0.3">
      <c r="D86" s="72"/>
      <c r="E86" s="48"/>
      <c r="F86" s="48"/>
      <c r="G86" s="48"/>
      <c r="H86" s="49"/>
      <c r="I86" s="58"/>
      <c r="J86" s="58"/>
      <c r="K86" s="58"/>
      <c r="L86" s="58"/>
      <c r="M86" s="58"/>
      <c r="N86" s="58"/>
      <c r="O86" s="58"/>
      <c r="P86" s="58"/>
      <c r="Q86" s="58"/>
      <c r="R86" s="58"/>
    </row>
    <row r="87" spans="2:20" ht="14.25" customHeight="1" x14ac:dyDescent="0.3">
      <c r="C87" s="20" t="s">
        <v>93</v>
      </c>
      <c r="D87" s="73">
        <f t="shared" ref="D87:R87" si="47">ROUND(D67-D77-D85,3)</f>
        <v>0</v>
      </c>
      <c r="E87" s="74">
        <f t="shared" si="47"/>
        <v>0</v>
      </c>
      <c r="F87" s="74">
        <f t="shared" si="47"/>
        <v>0</v>
      </c>
      <c r="G87" s="74">
        <f t="shared" si="47"/>
        <v>0</v>
      </c>
      <c r="H87" s="75">
        <f t="shared" si="47"/>
        <v>0</v>
      </c>
      <c r="I87" s="76">
        <f t="shared" ca="1" si="47"/>
        <v>0</v>
      </c>
      <c r="J87" s="74">
        <f t="shared" ca="1" si="47"/>
        <v>0</v>
      </c>
      <c r="K87" s="74">
        <f t="shared" ca="1" si="47"/>
        <v>0</v>
      </c>
      <c r="L87" s="74">
        <f t="shared" ca="1" si="47"/>
        <v>0</v>
      </c>
      <c r="M87" s="74">
        <f t="shared" ca="1" si="47"/>
        <v>0</v>
      </c>
      <c r="N87" s="74">
        <f t="shared" ca="1" si="47"/>
        <v>0</v>
      </c>
      <c r="O87" s="74">
        <f t="shared" ca="1" si="47"/>
        <v>0</v>
      </c>
      <c r="P87" s="74">
        <f t="shared" ca="1" si="47"/>
        <v>0</v>
      </c>
      <c r="Q87" s="74">
        <f t="shared" ca="1" si="47"/>
        <v>0</v>
      </c>
      <c r="R87" s="74">
        <f t="shared" ca="1" si="47"/>
        <v>0</v>
      </c>
    </row>
    <row r="88" spans="2:20" ht="14.25" customHeight="1" x14ac:dyDescent="0.3">
      <c r="D88" s="5"/>
      <c r="E88" s="5"/>
      <c r="F88" s="5"/>
      <c r="G88" s="48"/>
      <c r="H88" s="49"/>
      <c r="I88" s="58"/>
      <c r="J88" s="51"/>
      <c r="K88" s="51"/>
      <c r="L88" s="51"/>
      <c r="M88" s="51"/>
      <c r="N88" s="51"/>
      <c r="O88" s="51"/>
      <c r="P88" s="51"/>
      <c r="Q88" s="51"/>
      <c r="R88" s="51"/>
    </row>
    <row r="89" spans="2:20" ht="14.25" customHeight="1" x14ac:dyDescent="0.3">
      <c r="B89" s="7" t="s">
        <v>13</v>
      </c>
      <c r="C89" s="12" t="s">
        <v>94</v>
      </c>
      <c r="D89" s="18"/>
      <c r="E89" s="18"/>
      <c r="F89" s="18"/>
      <c r="G89" s="18"/>
      <c r="H89" s="19"/>
      <c r="I89" s="77"/>
      <c r="J89" s="77"/>
      <c r="K89" s="77"/>
      <c r="L89" s="77"/>
      <c r="M89" s="77"/>
      <c r="N89" s="77"/>
      <c r="O89" s="77"/>
      <c r="P89" s="77"/>
      <c r="Q89" s="77"/>
      <c r="R89" s="77"/>
    </row>
    <row r="90" spans="2:20" ht="14.25" customHeight="1" x14ac:dyDescent="0.3">
      <c r="C90" s="60" t="str">
        <f t="shared" ref="C90:C91" si="48">C16</f>
        <v xml:space="preserve">Fiscal year  </v>
      </c>
      <c r="D90" s="61"/>
      <c r="E90" s="61"/>
      <c r="F90" s="61"/>
      <c r="G90" s="61"/>
      <c r="H90" s="62"/>
      <c r="I90" s="16">
        <f t="shared" ref="I90:R90" si="49">I16</f>
        <v>2023</v>
      </c>
      <c r="J90" s="16">
        <f t="shared" si="49"/>
        <v>2024</v>
      </c>
      <c r="K90" s="16">
        <f t="shared" si="49"/>
        <v>2025</v>
      </c>
      <c r="L90" s="16">
        <f t="shared" si="49"/>
        <v>2026</v>
      </c>
      <c r="M90" s="16">
        <f t="shared" si="49"/>
        <v>2027</v>
      </c>
      <c r="N90" s="16">
        <f t="shared" si="49"/>
        <v>2028</v>
      </c>
      <c r="O90" s="16">
        <f t="shared" si="49"/>
        <v>2029</v>
      </c>
      <c r="P90" s="16">
        <f t="shared" si="49"/>
        <v>2030</v>
      </c>
      <c r="Q90" s="16">
        <f t="shared" si="49"/>
        <v>2031</v>
      </c>
      <c r="R90" s="16">
        <f t="shared" si="49"/>
        <v>2032</v>
      </c>
    </row>
    <row r="91" spans="2:20" ht="14.25" customHeight="1" x14ac:dyDescent="0.3">
      <c r="C91" s="13" t="str">
        <f t="shared" si="48"/>
        <v>Fiscal year end date</v>
      </c>
      <c r="D91" s="64"/>
      <c r="E91" s="64"/>
      <c r="F91" s="64"/>
      <c r="G91" s="64"/>
      <c r="H91" s="65"/>
      <c r="I91" s="63">
        <f t="shared" ref="I91:R91" si="50">I17</f>
        <v>45291</v>
      </c>
      <c r="J91" s="63">
        <f t="shared" si="50"/>
        <v>45657</v>
      </c>
      <c r="K91" s="63">
        <f t="shared" si="50"/>
        <v>46022</v>
      </c>
      <c r="L91" s="63">
        <f t="shared" si="50"/>
        <v>46387</v>
      </c>
      <c r="M91" s="63">
        <f t="shared" si="50"/>
        <v>46752</v>
      </c>
      <c r="N91" s="63">
        <f t="shared" si="50"/>
        <v>47118</v>
      </c>
      <c r="O91" s="63">
        <f t="shared" si="50"/>
        <v>47483</v>
      </c>
      <c r="P91" s="63">
        <f t="shared" si="50"/>
        <v>47848</v>
      </c>
      <c r="Q91" s="63">
        <f t="shared" si="50"/>
        <v>48213</v>
      </c>
      <c r="R91" s="63">
        <f t="shared" si="50"/>
        <v>48579</v>
      </c>
    </row>
    <row r="92" spans="2:20" ht="14.25" customHeight="1" x14ac:dyDescent="0.3">
      <c r="H92" s="56"/>
      <c r="I92" s="58"/>
      <c r="J92" s="58"/>
      <c r="K92" s="58"/>
      <c r="L92" s="58"/>
      <c r="M92" s="58"/>
      <c r="N92" s="58"/>
      <c r="O92" s="58"/>
      <c r="P92" s="58"/>
      <c r="Q92" s="58"/>
      <c r="R92" s="58"/>
    </row>
    <row r="93" spans="2:20" ht="14.25" customHeight="1" x14ac:dyDescent="0.3">
      <c r="C93" s="7" t="s">
        <v>51</v>
      </c>
      <c r="D93" s="78"/>
      <c r="E93" s="78"/>
      <c r="F93" s="78"/>
      <c r="G93" s="78"/>
      <c r="H93" s="79"/>
      <c r="I93" s="28">
        <f t="shared" ref="I93:R93" ca="1" si="51">I46</f>
        <v>40007.764298950024</v>
      </c>
      <c r="J93" s="28">
        <f t="shared" ca="1" si="51"/>
        <v>51313.235246293436</v>
      </c>
      <c r="K93" s="28">
        <f t="shared" ca="1" si="51"/>
        <v>70500.357067845704</v>
      </c>
      <c r="L93" s="28">
        <f t="shared" ca="1" si="51"/>
        <v>93277.969906978062</v>
      </c>
      <c r="M93" s="28">
        <f t="shared" ca="1" si="51"/>
        <v>118868.33392878537</v>
      </c>
      <c r="N93" s="28">
        <f t="shared" ca="1" si="51"/>
        <v>145872.80365935675</v>
      </c>
      <c r="O93" s="28">
        <f t="shared" ca="1" si="51"/>
        <v>171858.52687864771</v>
      </c>
      <c r="P93" s="28">
        <f t="shared" ca="1" si="51"/>
        <v>194034.41770473894</v>
      </c>
      <c r="Q93" s="28">
        <f t="shared" ca="1" si="51"/>
        <v>209536.21039364627</v>
      </c>
      <c r="R93" s="28">
        <f t="shared" ca="1" si="51"/>
        <v>215973.91272065527</v>
      </c>
    </row>
    <row r="94" spans="2:20" ht="14.25" customHeight="1" x14ac:dyDescent="0.3">
      <c r="C94" s="7" t="s">
        <v>95</v>
      </c>
      <c r="D94" s="78"/>
      <c r="E94" s="78"/>
      <c r="F94" s="78"/>
      <c r="G94" s="78"/>
      <c r="H94" s="79"/>
      <c r="I94" s="28">
        <f t="shared" ref="I94:R94" ca="1" si="52">I49</f>
        <v>54708.511089076885</v>
      </c>
      <c r="J94" s="28">
        <f t="shared" ca="1" si="52"/>
        <v>66283.794595560365</v>
      </c>
      <c r="K94" s="28">
        <f t="shared" ca="1" si="52"/>
        <v>89960.550909941347</v>
      </c>
      <c r="L94" s="28">
        <f t="shared" ca="1" si="52"/>
        <v>120227.26419393322</v>
      </c>
      <c r="M94" s="28">
        <f t="shared" ca="1" si="52"/>
        <v>154796.63685422909</v>
      </c>
      <c r="N94" s="28">
        <f t="shared" ca="1" si="52"/>
        <v>191737.3065024676</v>
      </c>
      <c r="O94" s="28">
        <f t="shared" ca="1" si="52"/>
        <v>228122.38574857626</v>
      </c>
      <c r="P94" s="28">
        <f t="shared" ca="1" si="52"/>
        <v>260267.37715185017</v>
      </c>
      <c r="Q94" s="28">
        <f t="shared" ca="1" si="52"/>
        <v>284232.75120113324</v>
      </c>
      <c r="R94" s="28">
        <f t="shared" ca="1" si="52"/>
        <v>296532.52985637716</v>
      </c>
    </row>
    <row r="95" spans="2:20" ht="14.25" customHeight="1" x14ac:dyDescent="0.3">
      <c r="C95" s="7" t="s">
        <v>56</v>
      </c>
      <c r="D95" s="78"/>
      <c r="E95" s="78"/>
      <c r="F95" s="78"/>
      <c r="G95" s="78"/>
      <c r="H95" s="79"/>
      <c r="I95" s="28">
        <f t="shared" ref="I95:R95" si="53">I51</f>
        <v>20158.267674450108</v>
      </c>
      <c r="J95" s="28">
        <f t="shared" si="53"/>
        <v>20710.246961662509</v>
      </c>
      <c r="K95" s="28">
        <f t="shared" si="53"/>
        <v>21277.340699106055</v>
      </c>
      <c r="L95" s="28">
        <f t="shared" si="53"/>
        <v>21859.962754857101</v>
      </c>
      <c r="M95" s="28">
        <f t="shared" si="53"/>
        <v>22458.538329642688</v>
      </c>
      <c r="N95" s="28">
        <f t="shared" si="53"/>
        <v>23073.50426715432</v>
      </c>
      <c r="O95" s="28">
        <f t="shared" si="53"/>
        <v>23705.30937285885</v>
      </c>
      <c r="P95" s="28">
        <f t="shared" si="53"/>
        <v>24354.414741539149</v>
      </c>
      <c r="Q95" s="28">
        <f t="shared" si="53"/>
        <v>25021.294093803564</v>
      </c>
      <c r="R95" s="28">
        <f t="shared" si="53"/>
        <v>25706.434121809783</v>
      </c>
    </row>
    <row r="96" spans="2:20" ht="14.25" customHeight="1" x14ac:dyDescent="0.3">
      <c r="C96" s="7" t="s">
        <v>96</v>
      </c>
      <c r="D96" s="80"/>
      <c r="E96" s="80"/>
      <c r="F96" s="80"/>
      <c r="G96" s="80"/>
      <c r="H96" s="81"/>
      <c r="I96" s="28">
        <f t="shared" ref="I96:R96" ca="1" si="54">SUM(H61:H62)-SUM(I61:I62)</f>
        <v>-14437.568452947802</v>
      </c>
      <c r="J96" s="28">
        <f t="shared" ca="1" si="54"/>
        <v>-25733.223756511463</v>
      </c>
      <c r="K96" s="28">
        <f t="shared" ca="1" si="54"/>
        <v>-43995.256633600045</v>
      </c>
      <c r="L96" s="28">
        <f t="shared" ca="1" si="54"/>
        <v>-52631.484193177748</v>
      </c>
      <c r="M96" s="28">
        <f t="shared" ca="1" si="54"/>
        <v>-59339.006668123358</v>
      </c>
      <c r="N96" s="28">
        <f t="shared" ca="1" si="54"/>
        <v>-62402.337569350377</v>
      </c>
      <c r="O96" s="28">
        <f t="shared" ca="1" si="54"/>
        <v>-60177.605639952584</v>
      </c>
      <c r="P96" s="28">
        <f t="shared" ca="1" si="54"/>
        <v>-51523.814154152351</v>
      </c>
      <c r="Q96" s="28">
        <f t="shared" ca="1" si="54"/>
        <v>-36247.934514137509</v>
      </c>
      <c r="R96" s="28">
        <f t="shared" ca="1" si="54"/>
        <v>-15415.778087464219</v>
      </c>
    </row>
    <row r="97" spans="3:18" ht="14.25" customHeight="1" x14ac:dyDescent="0.3">
      <c r="C97" s="7" t="s">
        <v>97</v>
      </c>
      <c r="D97" s="80"/>
      <c r="E97" s="80"/>
      <c r="F97" s="80"/>
      <c r="G97" s="80"/>
      <c r="H97" s="81"/>
      <c r="I97" s="28">
        <f t="shared" ref="I97:R97" ca="1" si="55">SUM(I69:I71)-SUM(H69:H71)</f>
        <v>29225.520414367464</v>
      </c>
      <c r="J97" s="28">
        <f t="shared" ca="1" si="55"/>
        <v>52090.963840234297</v>
      </c>
      <c r="K97" s="28">
        <f t="shared" ca="1" si="55"/>
        <v>89058.228542500001</v>
      </c>
      <c r="L97" s="28">
        <f t="shared" ca="1" si="55"/>
        <v>106540.27516746521</v>
      </c>
      <c r="M97" s="28">
        <f t="shared" ca="1" si="55"/>
        <v>120118.10412531364</v>
      </c>
      <c r="N97" s="28">
        <f t="shared" ca="1" si="55"/>
        <v>126319.10951493587</v>
      </c>
      <c r="O97" s="28">
        <f t="shared" ca="1" si="55"/>
        <v>121815.65392052557</v>
      </c>
      <c r="P97" s="28">
        <f t="shared" ca="1" si="55"/>
        <v>104298.05318642885</v>
      </c>
      <c r="Q97" s="28">
        <f t="shared" ca="1" si="55"/>
        <v>73375.565530585009</v>
      </c>
      <c r="R97" s="28">
        <f t="shared" ca="1" si="55"/>
        <v>31205.679728331044</v>
      </c>
    </row>
    <row r="98" spans="3:18" ht="14.25" customHeight="1" x14ac:dyDescent="0.3">
      <c r="C98" s="7" t="s">
        <v>98</v>
      </c>
      <c r="H98" s="56"/>
      <c r="I98" s="28">
        <f t="shared" ref="I98:R98" ca="1" si="56">I75-H75</f>
        <v>6755.035744701232</v>
      </c>
      <c r="J98" s="28">
        <f t="shared" ca="1" si="56"/>
        <v>7865.3515732179185</v>
      </c>
      <c r="K98" s="28">
        <f t="shared" ca="1" si="56"/>
        <v>13447.136054597584</v>
      </c>
      <c r="L98" s="28">
        <f t="shared" ca="1" si="56"/>
        <v>16086.796233404544</v>
      </c>
      <c r="M98" s="28">
        <f t="shared" ca="1" si="56"/>
        <v>18136.948322777287</v>
      </c>
      <c r="N98" s="28">
        <f t="shared" ca="1" si="56"/>
        <v>19073.254428503962</v>
      </c>
      <c r="O98" s="28">
        <f t="shared" ca="1" si="56"/>
        <v>18393.265829079101</v>
      </c>
      <c r="P98" s="28">
        <f t="shared" ca="1" si="56"/>
        <v>15748.237241865427</v>
      </c>
      <c r="Q98" s="28">
        <f t="shared" ca="1" si="56"/>
        <v>11079.169537960814</v>
      </c>
      <c r="R98" s="28">
        <f t="shared" ca="1" si="56"/>
        <v>4711.8276194188511</v>
      </c>
    </row>
    <row r="99" spans="3:18" ht="14.25" customHeight="1" x14ac:dyDescent="0.3">
      <c r="C99" s="7" t="s">
        <v>99</v>
      </c>
      <c r="H99" s="56"/>
      <c r="I99" s="28">
        <v>0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28">
        <v>0</v>
      </c>
      <c r="P99" s="28">
        <v>0</v>
      </c>
      <c r="Q99" s="28">
        <v>0</v>
      </c>
      <c r="R99" s="28">
        <v>0</v>
      </c>
    </row>
    <row r="100" spans="3:18" ht="14.25" customHeight="1" x14ac:dyDescent="0.3">
      <c r="C100" s="7" t="s">
        <v>100</v>
      </c>
      <c r="H100" s="56"/>
      <c r="I100" s="28">
        <f t="shared" ref="I100:R100" ca="1" si="57">(H64-I64)</f>
        <v>-12436.075539819823</v>
      </c>
      <c r="J100" s="28">
        <f t="shared" ca="1" si="57"/>
        <v>-22165.804135371669</v>
      </c>
      <c r="K100" s="28">
        <f t="shared" ca="1" si="57"/>
        <v>-37896.155205934178</v>
      </c>
      <c r="L100" s="28">
        <f t="shared" ca="1" si="57"/>
        <v>-45335.134883156279</v>
      </c>
      <c r="M100" s="28">
        <f t="shared" ca="1" si="57"/>
        <v>-51112.787571371387</v>
      </c>
      <c r="N100" s="28">
        <f t="shared" ca="1" si="57"/>
        <v>-53751.446194205055</v>
      </c>
      <c r="O100" s="28">
        <f t="shared" ca="1" si="57"/>
        <v>-51835.130824341613</v>
      </c>
      <c r="P100" s="28">
        <f t="shared" ca="1" si="57"/>
        <v>-44381.022123559145</v>
      </c>
      <c r="Q100" s="28">
        <f t="shared" ca="1" si="57"/>
        <v>-31222.851219674514</v>
      </c>
      <c r="R100" s="28">
        <f t="shared" ca="1" si="57"/>
        <v>-13278.675105548115</v>
      </c>
    </row>
    <row r="101" spans="3:18" ht="14.25" customHeight="1" x14ac:dyDescent="0.3">
      <c r="C101" s="7" t="s">
        <v>90</v>
      </c>
      <c r="H101" s="56"/>
      <c r="I101" s="55">
        <f t="shared" ref="I101:R101" si="58">I84-H84</f>
        <v>0</v>
      </c>
      <c r="J101" s="55">
        <f t="shared" si="58"/>
        <v>0</v>
      </c>
      <c r="K101" s="55">
        <f t="shared" si="58"/>
        <v>0</v>
      </c>
      <c r="L101" s="55">
        <f t="shared" si="58"/>
        <v>0</v>
      </c>
      <c r="M101" s="55">
        <f t="shared" si="58"/>
        <v>0</v>
      </c>
      <c r="N101" s="55">
        <f t="shared" si="58"/>
        <v>0</v>
      </c>
      <c r="O101" s="55">
        <f t="shared" si="58"/>
        <v>0</v>
      </c>
      <c r="P101" s="55">
        <f t="shared" si="58"/>
        <v>0</v>
      </c>
      <c r="Q101" s="55">
        <f t="shared" si="58"/>
        <v>0</v>
      </c>
      <c r="R101" s="55">
        <f t="shared" si="58"/>
        <v>0</v>
      </c>
    </row>
    <row r="102" spans="3:18" ht="14.25" customHeight="1" x14ac:dyDescent="0.3">
      <c r="C102" s="36" t="s">
        <v>101</v>
      </c>
      <c r="D102" s="82"/>
      <c r="E102" s="82"/>
      <c r="F102" s="82"/>
      <c r="G102" s="82"/>
      <c r="H102" s="83"/>
      <c r="I102" s="67">
        <f t="shared" ref="I102:R102" ca="1" si="59">SUM(I93:I101)</f>
        <v>123981.45522877808</v>
      </c>
      <c r="J102" s="67">
        <f t="shared" ca="1" si="59"/>
        <v>150364.5643250854</v>
      </c>
      <c r="K102" s="67">
        <f t="shared" ca="1" si="59"/>
        <v>202352.20143445645</v>
      </c>
      <c r="L102" s="67">
        <f t="shared" ca="1" si="59"/>
        <v>260025.64918030414</v>
      </c>
      <c r="M102" s="67">
        <f t="shared" ca="1" si="59"/>
        <v>323926.76732125331</v>
      </c>
      <c r="N102" s="67">
        <f t="shared" ca="1" si="59"/>
        <v>389922.19460886309</v>
      </c>
      <c r="O102" s="67">
        <f t="shared" ca="1" si="59"/>
        <v>451882.4052853933</v>
      </c>
      <c r="P102" s="67">
        <f t="shared" ca="1" si="59"/>
        <v>502797.66374871111</v>
      </c>
      <c r="Q102" s="67">
        <f t="shared" ca="1" si="59"/>
        <v>535774.2050233169</v>
      </c>
      <c r="R102" s="67">
        <f t="shared" ca="1" si="59"/>
        <v>545435.93085357989</v>
      </c>
    </row>
    <row r="103" spans="3:18" ht="14.25" customHeight="1" x14ac:dyDescent="0.3">
      <c r="H103" s="56"/>
      <c r="I103" s="28"/>
      <c r="J103" s="28"/>
      <c r="K103" s="28"/>
      <c r="L103" s="28"/>
      <c r="M103" s="28"/>
      <c r="N103" s="28"/>
      <c r="O103" s="28"/>
      <c r="P103" s="28"/>
      <c r="Q103" s="28"/>
      <c r="R103" s="28"/>
    </row>
    <row r="104" spans="3:18" ht="14.25" customHeight="1" x14ac:dyDescent="0.3">
      <c r="C104" s="7" t="s">
        <v>102</v>
      </c>
      <c r="H104" s="56"/>
      <c r="I104" s="28">
        <f ca="1">-(Schedules!H57)</f>
        <v>-26038.168020458961</v>
      </c>
      <c r="J104" s="28">
        <f ca="1">-(Schedules!I57)</f>
        <v>-83046.166597165851</v>
      </c>
      <c r="K104" s="28">
        <f ca="1">-(Schedules!J57)</f>
        <v>-130516.59788304062</v>
      </c>
      <c r="L104" s="28">
        <f ca="1">-(Schedules!K57)</f>
        <v>-162323.75956121046</v>
      </c>
      <c r="M104" s="28">
        <f ca="1">-(Schedules!L57)</f>
        <v>-192455.97049940849</v>
      </c>
      <c r="N104" s="28">
        <f ca="1">-(Schedules!M57)</f>
        <v>-216597.65530788328</v>
      </c>
      <c r="O104" s="28">
        <f ca="1">-(Schedules!N57)</f>
        <v>-230085.29969920134</v>
      </c>
      <c r="P104" s="28">
        <f ca="1">-(Schedules!O57)</f>
        <v>-228870.8398455219</v>
      </c>
      <c r="Q104" s="28">
        <f ca="1">-(Schedules!P57)</f>
        <v>-210642.08850288467</v>
      </c>
      <c r="R104" s="28">
        <f ca="1">-(Schedules!Q57)</f>
        <v>-175780.75297288611</v>
      </c>
    </row>
    <row r="105" spans="3:18" ht="14.25" customHeight="1" x14ac:dyDescent="0.3">
      <c r="C105" s="7" t="s">
        <v>71</v>
      </c>
      <c r="H105" s="56"/>
      <c r="I105" s="28">
        <f ca="1">-Schedules!H72</f>
        <v>-35872.360032846278</v>
      </c>
      <c r="J105" s="28">
        <f ca="1">-Schedules!I72</f>
        <v>-50016.571535042014</v>
      </c>
      <c r="K105" s="28">
        <f ca="1">-Schedules!J72</f>
        <v>-73613.743272170075</v>
      </c>
      <c r="L105" s="28">
        <f ca="1">-Schedules!K72</f>
        <v>-94484.717482000211</v>
      </c>
      <c r="M105" s="28">
        <f ca="1">-Schedules!L72</f>
        <v>-116328.22008324451</v>
      </c>
      <c r="N105" s="28">
        <f ca="1">-Schedules!M72</f>
        <v>-137076.6947818271</v>
      </c>
      <c r="O105" s="28">
        <f ca="1">-Schedules!N72</f>
        <v>-154200.84412434904</v>
      </c>
      <c r="P105" s="28">
        <f ca="1">-Schedules!O72</f>
        <v>-165103.29355066546</v>
      </c>
      <c r="Q105" s="28">
        <f ca="1">-Schedules!P72</f>
        <v>-167655.78237168945</v>
      </c>
      <c r="R105" s="28">
        <f ca="1">-Schedules!Q72</f>
        <v>-160756.45660092362</v>
      </c>
    </row>
    <row r="106" spans="3:18" ht="14.25" customHeight="1" x14ac:dyDescent="0.3">
      <c r="C106" s="7" t="s">
        <v>69</v>
      </c>
      <c r="H106" s="56"/>
      <c r="I106" s="28">
        <f t="shared" ref="I106:R106" si="60">I65-H65</f>
        <v>0</v>
      </c>
      <c r="J106" s="28">
        <f t="shared" si="60"/>
        <v>0</v>
      </c>
      <c r="K106" s="28">
        <f t="shared" si="60"/>
        <v>0</v>
      </c>
      <c r="L106" s="28">
        <f t="shared" si="60"/>
        <v>0</v>
      </c>
      <c r="M106" s="28">
        <f t="shared" si="60"/>
        <v>0</v>
      </c>
      <c r="N106" s="28">
        <f t="shared" si="60"/>
        <v>0</v>
      </c>
      <c r="O106" s="28">
        <f t="shared" si="60"/>
        <v>0</v>
      </c>
      <c r="P106" s="28">
        <f t="shared" si="60"/>
        <v>0</v>
      </c>
      <c r="Q106" s="28">
        <f t="shared" si="60"/>
        <v>0</v>
      </c>
      <c r="R106" s="28">
        <f t="shared" si="60"/>
        <v>0</v>
      </c>
    </row>
    <row r="107" spans="3:18" ht="14.25" customHeight="1" x14ac:dyDescent="0.3">
      <c r="C107" s="47" t="s">
        <v>79</v>
      </c>
      <c r="H107" s="56"/>
      <c r="I107" s="28">
        <f t="shared" ref="I107:R107" ca="1" si="61">-(H74-I74)</f>
        <v>13723.448119256122</v>
      </c>
      <c r="J107" s="28">
        <f t="shared" ca="1" si="61"/>
        <v>24460.390426172438</v>
      </c>
      <c r="K107" s="28">
        <f t="shared" ca="1" si="61"/>
        <v>41819.134840624349</v>
      </c>
      <c r="L107" s="28">
        <f t="shared" ca="1" si="61"/>
        <v>50028.191735918634</v>
      </c>
      <c r="M107" s="28">
        <f t="shared" ca="1" si="61"/>
        <v>56403.942402913148</v>
      </c>
      <c r="N107" s="28">
        <f t="shared" ca="1" si="61"/>
        <v>59315.752852997568</v>
      </c>
      <c r="O107" s="28">
        <f t="shared" ca="1" si="61"/>
        <v>57201.062050883309</v>
      </c>
      <c r="P107" s="28">
        <f t="shared" ca="1" si="61"/>
        <v>48975.309987627028</v>
      </c>
      <c r="Q107" s="28">
        <f t="shared" ca="1" si="61"/>
        <v>34455.015770567115</v>
      </c>
      <c r="R107" s="28">
        <f t="shared" ca="1" si="61"/>
        <v>14653.272917164024</v>
      </c>
    </row>
    <row r="108" spans="3:18" ht="14.25" customHeight="1" x14ac:dyDescent="0.3">
      <c r="C108" s="36" t="s">
        <v>103</v>
      </c>
      <c r="D108" s="82"/>
      <c r="E108" s="82"/>
      <c r="F108" s="82"/>
      <c r="G108" s="82"/>
      <c r="H108" s="83"/>
      <c r="I108" s="67">
        <f t="shared" ref="I108:R108" ca="1" si="62">SUM(I104:I107)</f>
        <v>-48187.079934049121</v>
      </c>
      <c r="J108" s="67">
        <f t="shared" ca="1" si="62"/>
        <v>-108602.34770603542</v>
      </c>
      <c r="K108" s="67">
        <f t="shared" ca="1" si="62"/>
        <v>-162311.20631458634</v>
      </c>
      <c r="L108" s="67">
        <f t="shared" ca="1" si="62"/>
        <v>-206780.28530729204</v>
      </c>
      <c r="M108" s="67">
        <f t="shared" ca="1" si="62"/>
        <v>-252380.24817973984</v>
      </c>
      <c r="N108" s="67">
        <f t="shared" ca="1" si="62"/>
        <v>-294358.59723671281</v>
      </c>
      <c r="O108" s="67">
        <f t="shared" ca="1" si="62"/>
        <v>-327085.08177266706</v>
      </c>
      <c r="P108" s="67">
        <f t="shared" ca="1" si="62"/>
        <v>-344998.8234085603</v>
      </c>
      <c r="Q108" s="67">
        <f t="shared" ca="1" si="62"/>
        <v>-343842.855104007</v>
      </c>
      <c r="R108" s="67">
        <f t="shared" ca="1" si="62"/>
        <v>-321883.93665664573</v>
      </c>
    </row>
    <row r="109" spans="3:18" ht="14.25" customHeight="1" x14ac:dyDescent="0.3">
      <c r="H109" s="56"/>
      <c r="I109" s="28"/>
      <c r="J109" s="28"/>
      <c r="K109" s="28"/>
      <c r="L109" s="28"/>
      <c r="M109" s="28"/>
      <c r="N109" s="28"/>
      <c r="O109" s="28"/>
      <c r="P109" s="28"/>
      <c r="Q109" s="28"/>
      <c r="R109" s="28"/>
    </row>
    <row r="110" spans="3:18" ht="14.25" customHeight="1" x14ac:dyDescent="0.3">
      <c r="C110" s="7" t="s">
        <v>104</v>
      </c>
      <c r="H110" s="56"/>
      <c r="I110" s="28">
        <f t="shared" ref="I110:R110" ca="1" si="63">I73-H73</f>
        <v>6856.9838101989444</v>
      </c>
      <c r="J110" s="28">
        <f t="shared" ca="1" si="63"/>
        <v>20050.610807352947</v>
      </c>
      <c r="K110" s="28">
        <f t="shared" ca="1" si="63"/>
        <v>34279.8778915804</v>
      </c>
      <c r="L110" s="28">
        <f t="shared" ca="1" si="63"/>
        <v>41008.985728176689</v>
      </c>
      <c r="M110" s="28">
        <f t="shared" ca="1" si="63"/>
        <v>46235.300312748615</v>
      </c>
      <c r="N110" s="28">
        <f t="shared" ca="1" si="63"/>
        <v>48622.162380860012</v>
      </c>
      <c r="O110" s="28">
        <f t="shared" ca="1" si="63"/>
        <v>46888.713261188008</v>
      </c>
      <c r="P110" s="28">
        <f t="shared" ca="1" si="63"/>
        <v>40145.920102757576</v>
      </c>
      <c r="Q110" s="28">
        <f t="shared" ca="1" si="63"/>
        <v>28243.3804015512</v>
      </c>
      <c r="R110" s="28">
        <f t="shared" ca="1" si="63"/>
        <v>12011.544672713324</v>
      </c>
    </row>
    <row r="111" spans="3:18" ht="14.25" customHeight="1" x14ac:dyDescent="0.3">
      <c r="C111" s="7" t="s">
        <v>105</v>
      </c>
      <c r="H111" s="56"/>
      <c r="I111" s="28">
        <f ca="1">Schedules!H88</f>
        <v>-69481.227293736229</v>
      </c>
      <c r="J111" s="28">
        <f ca="1">Schedules!I88</f>
        <v>-38338.656557211732</v>
      </c>
      <c r="K111" s="28">
        <f ca="1">Schedules!J88</f>
        <v>-34187.845707021603</v>
      </c>
      <c r="L111" s="28">
        <f ca="1">Schedules!K88</f>
        <v>-46243.246727334059</v>
      </c>
      <c r="M111" s="28">
        <f ca="1">Schedules!L88</f>
        <v>-63652.030084861632</v>
      </c>
      <c r="N111" s="28">
        <f ca="1">Schedules!M88</f>
        <v>-87261.561347078823</v>
      </c>
      <c r="O111" s="28">
        <f ca="1">Schedules!N88</f>
        <v>-116791.26685867528</v>
      </c>
      <c r="P111" s="28">
        <f ca="1">Schedules!O88</f>
        <v>-150944.08813184663</v>
      </c>
      <c r="Q111" s="28">
        <f ca="1">Schedules!P88</f>
        <v>-187108.90784594422</v>
      </c>
      <c r="R111" s="28">
        <f ca="1">Schedules!Q88</f>
        <v>-221501.07190745405</v>
      </c>
    </row>
    <row r="112" spans="3:18" ht="14.25" customHeight="1" x14ac:dyDescent="0.3">
      <c r="C112" s="36" t="s">
        <v>106</v>
      </c>
      <c r="D112" s="82"/>
      <c r="E112" s="82"/>
      <c r="F112" s="82"/>
      <c r="G112" s="82"/>
      <c r="H112" s="83"/>
      <c r="I112" s="67">
        <f t="shared" ref="I112:R112" ca="1" si="64">SUM(I110:I111)</f>
        <v>-62624.243483537284</v>
      </c>
      <c r="J112" s="67">
        <f t="shared" ca="1" si="64"/>
        <v>-18288.045749858786</v>
      </c>
      <c r="K112" s="67">
        <f t="shared" ca="1" si="64"/>
        <v>92.032184558796871</v>
      </c>
      <c r="L112" s="67">
        <f t="shared" ca="1" si="64"/>
        <v>-5234.26099915737</v>
      </c>
      <c r="M112" s="67">
        <f t="shared" ca="1" si="64"/>
        <v>-17416.729772113016</v>
      </c>
      <c r="N112" s="67">
        <f t="shared" ca="1" si="64"/>
        <v>-38639.398966218811</v>
      </c>
      <c r="O112" s="67">
        <f t="shared" ca="1" si="64"/>
        <v>-69902.553597487276</v>
      </c>
      <c r="P112" s="67">
        <f t="shared" ca="1" si="64"/>
        <v>-110798.16802908905</v>
      </c>
      <c r="Q112" s="67">
        <f t="shared" ca="1" si="64"/>
        <v>-158865.52744439302</v>
      </c>
      <c r="R112" s="67">
        <f t="shared" ca="1" si="64"/>
        <v>-209489.52723474073</v>
      </c>
    </row>
    <row r="113" spans="3:18" ht="14.25" customHeight="1" x14ac:dyDescent="0.3">
      <c r="H113" s="56"/>
      <c r="I113" s="28"/>
      <c r="J113" s="28"/>
      <c r="K113" s="28"/>
      <c r="L113" s="28"/>
      <c r="M113" s="28"/>
      <c r="N113" s="28"/>
      <c r="O113" s="28"/>
      <c r="P113" s="28"/>
      <c r="Q113" s="28"/>
      <c r="R113" s="28"/>
    </row>
    <row r="114" spans="3:18" ht="14.25" customHeight="1" x14ac:dyDescent="0.3">
      <c r="C114" s="35" t="s">
        <v>107</v>
      </c>
      <c r="H114" s="56"/>
      <c r="I114" s="55">
        <f t="shared" ref="I114:R114" ca="1" si="65">I102+I108+I112</f>
        <v>13170.131811191677</v>
      </c>
      <c r="J114" s="55">
        <f t="shared" ca="1" si="65"/>
        <v>23474.170869191199</v>
      </c>
      <c r="K114" s="55">
        <f t="shared" ca="1" si="65"/>
        <v>40133.027304428913</v>
      </c>
      <c r="L114" s="55">
        <f t="shared" ca="1" si="65"/>
        <v>48011.102873854732</v>
      </c>
      <c r="M114" s="55">
        <f t="shared" ca="1" si="65"/>
        <v>54129.78936940046</v>
      </c>
      <c r="N114" s="55">
        <f t="shared" ca="1" si="65"/>
        <v>56924.198405931471</v>
      </c>
      <c r="O114" s="55">
        <f t="shared" ca="1" si="65"/>
        <v>54894.769915238954</v>
      </c>
      <c r="P114" s="55">
        <f t="shared" ca="1" si="65"/>
        <v>47000.67231106176</v>
      </c>
      <c r="Q114" s="55">
        <f t="shared" ca="1" si="65"/>
        <v>33065.822474916873</v>
      </c>
      <c r="R114" s="55">
        <f t="shared" ca="1" si="65"/>
        <v>14062.46696219343</v>
      </c>
    </row>
    <row r="115" spans="3:18" ht="14.25" customHeight="1" x14ac:dyDescent="0.3">
      <c r="C115" s="35"/>
      <c r="H115" s="56"/>
      <c r="I115" s="55"/>
      <c r="J115" s="55"/>
      <c r="K115" s="55"/>
      <c r="L115" s="55"/>
      <c r="M115" s="55"/>
      <c r="N115" s="55"/>
      <c r="O115" s="55"/>
      <c r="P115" s="55"/>
      <c r="Q115" s="55"/>
      <c r="R115" s="55"/>
    </row>
    <row r="116" spans="3:18" ht="14.25" customHeight="1" x14ac:dyDescent="0.3">
      <c r="C116" s="35" t="s">
        <v>108</v>
      </c>
      <c r="H116" s="56"/>
      <c r="I116" s="55"/>
      <c r="J116" s="55"/>
      <c r="K116" s="55"/>
      <c r="L116" s="55"/>
      <c r="M116" s="55"/>
      <c r="N116" s="55"/>
      <c r="O116" s="55"/>
      <c r="P116" s="55"/>
      <c r="Q116" s="55"/>
      <c r="R116" s="55"/>
    </row>
    <row r="117" spans="3:18" ht="14.25" customHeight="1" x14ac:dyDescent="0.3">
      <c r="C117" s="7" t="s">
        <v>109</v>
      </c>
      <c r="H117" s="56"/>
      <c r="I117" s="84">
        <f>H59+H60</f>
        <v>70026</v>
      </c>
      <c r="J117" s="84">
        <f t="shared" ref="J117:R117" ca="1" si="66">I118</f>
        <v>83196.131811191604</v>
      </c>
      <c r="K117" s="84">
        <f t="shared" ca="1" si="66"/>
        <v>106670.3026803828</v>
      </c>
      <c r="L117" s="84">
        <f t="shared" ca="1" si="66"/>
        <v>146803.32998481172</v>
      </c>
      <c r="M117" s="84">
        <f t="shared" ca="1" si="66"/>
        <v>194814.43285866646</v>
      </c>
      <c r="N117" s="84">
        <f t="shared" ca="1" si="66"/>
        <v>248944.22222806694</v>
      </c>
      <c r="O117" s="84">
        <f t="shared" ca="1" si="66"/>
        <v>305868.42063399841</v>
      </c>
      <c r="P117" s="84">
        <f t="shared" ca="1" si="66"/>
        <v>360763.19054923736</v>
      </c>
      <c r="Q117" s="84">
        <f t="shared" ca="1" si="66"/>
        <v>407763.86286029912</v>
      </c>
      <c r="R117" s="84">
        <f t="shared" ca="1" si="66"/>
        <v>440829.685335216</v>
      </c>
    </row>
    <row r="118" spans="3:18" ht="14.25" customHeight="1" x14ac:dyDescent="0.3">
      <c r="C118" s="7" t="s">
        <v>110</v>
      </c>
      <c r="D118" s="7"/>
      <c r="E118" s="7"/>
      <c r="F118" s="7"/>
      <c r="G118" s="7"/>
      <c r="H118" s="56"/>
      <c r="I118" s="84">
        <f ca="1">I59+I60</f>
        <v>83196.131811191604</v>
      </c>
      <c r="J118" s="84">
        <f t="shared" ref="J118:R118" ca="1" si="67">J114+J117</f>
        <v>106670.3026803828</v>
      </c>
      <c r="K118" s="84">
        <f t="shared" ca="1" si="67"/>
        <v>146803.32998481172</v>
      </c>
      <c r="L118" s="84">
        <f t="shared" ca="1" si="67"/>
        <v>194814.43285866646</v>
      </c>
      <c r="M118" s="84">
        <f t="shared" ca="1" si="67"/>
        <v>248944.22222806694</v>
      </c>
      <c r="N118" s="84">
        <f t="shared" ca="1" si="67"/>
        <v>305868.42063399841</v>
      </c>
      <c r="O118" s="84">
        <f t="shared" ca="1" si="67"/>
        <v>360763.19054923736</v>
      </c>
      <c r="P118" s="84">
        <f t="shared" ca="1" si="67"/>
        <v>407763.86286029912</v>
      </c>
      <c r="Q118" s="84">
        <f t="shared" ca="1" si="67"/>
        <v>440829.685335216</v>
      </c>
      <c r="R118" s="84">
        <f t="shared" ca="1" si="67"/>
        <v>454892.15229740943</v>
      </c>
    </row>
    <row r="119" spans="3:18" ht="14.25" customHeight="1" x14ac:dyDescent="0.3">
      <c r="C119" s="7" t="s">
        <v>111</v>
      </c>
      <c r="D119" s="61"/>
      <c r="E119" s="61"/>
      <c r="F119" s="61"/>
      <c r="G119" s="61"/>
      <c r="H119" s="62"/>
      <c r="I119" s="53">
        <f t="shared" ref="I119:R119" ca="1" si="68">I118-I117</f>
        <v>13170.131811191604</v>
      </c>
      <c r="J119" s="53">
        <f t="shared" ca="1" si="68"/>
        <v>23474.170869191192</v>
      </c>
      <c r="K119" s="53">
        <f t="shared" ca="1" si="68"/>
        <v>40133.027304428921</v>
      </c>
      <c r="L119" s="53">
        <f t="shared" ca="1" si="68"/>
        <v>48011.102873854747</v>
      </c>
      <c r="M119" s="53">
        <f t="shared" ca="1" si="68"/>
        <v>54129.789369400474</v>
      </c>
      <c r="N119" s="53">
        <f t="shared" ca="1" si="68"/>
        <v>56924.198405931471</v>
      </c>
      <c r="O119" s="53">
        <f t="shared" ca="1" si="68"/>
        <v>54894.769915238954</v>
      </c>
      <c r="P119" s="53">
        <f t="shared" ca="1" si="68"/>
        <v>47000.67231106176</v>
      </c>
      <c r="Q119" s="53">
        <f t="shared" ca="1" si="68"/>
        <v>33065.822474916873</v>
      </c>
      <c r="R119" s="53">
        <f t="shared" ca="1" si="68"/>
        <v>14062.46696219343</v>
      </c>
    </row>
    <row r="120" spans="3:18" ht="14.25" customHeight="1" x14ac:dyDescent="0.3">
      <c r="C120" s="7"/>
      <c r="D120" s="61"/>
      <c r="E120" s="61"/>
      <c r="F120" s="61"/>
      <c r="G120" s="61"/>
      <c r="H120" s="62"/>
      <c r="I120" s="70"/>
      <c r="J120" s="70"/>
      <c r="K120" s="70"/>
      <c r="L120" s="70"/>
      <c r="M120" s="70"/>
      <c r="N120" s="70"/>
      <c r="O120" s="70"/>
      <c r="P120" s="70"/>
      <c r="Q120" s="70"/>
      <c r="R120" s="70"/>
    </row>
    <row r="121" spans="3:18" ht="14.25" customHeight="1" x14ac:dyDescent="0.3">
      <c r="C121" s="20" t="s">
        <v>112</v>
      </c>
      <c r="D121" s="61"/>
      <c r="E121" s="61"/>
      <c r="F121" s="61"/>
      <c r="G121" s="61"/>
      <c r="H121" s="85"/>
      <c r="I121" s="70">
        <f t="shared" ref="I121:R121" ca="1" si="69">ROUND(I114-I119,1)</f>
        <v>0</v>
      </c>
      <c r="J121" s="70">
        <f t="shared" ca="1" si="69"/>
        <v>0</v>
      </c>
      <c r="K121" s="70">
        <f t="shared" ca="1" si="69"/>
        <v>0</v>
      </c>
      <c r="L121" s="70">
        <f t="shared" ca="1" si="69"/>
        <v>0</v>
      </c>
      <c r="M121" s="70">
        <f t="shared" ca="1" si="69"/>
        <v>0</v>
      </c>
      <c r="N121" s="70">
        <f t="shared" ca="1" si="69"/>
        <v>0</v>
      </c>
      <c r="O121" s="70">
        <f t="shared" ca="1" si="69"/>
        <v>0</v>
      </c>
      <c r="P121" s="70">
        <f t="shared" ca="1" si="69"/>
        <v>0</v>
      </c>
      <c r="Q121" s="70">
        <f t="shared" ca="1" si="69"/>
        <v>0</v>
      </c>
      <c r="R121" s="70">
        <f t="shared" ca="1" si="69"/>
        <v>0</v>
      </c>
    </row>
    <row r="122" spans="3:18" ht="14.25" customHeight="1" x14ac:dyDescent="0.3">
      <c r="C122" s="35"/>
      <c r="D122" s="61"/>
      <c r="E122" s="61"/>
      <c r="F122" s="61"/>
      <c r="G122" s="61"/>
      <c r="H122" s="62"/>
      <c r="I122" s="86"/>
      <c r="J122" s="86"/>
      <c r="K122" s="86"/>
      <c r="L122" s="86"/>
      <c r="M122" s="86"/>
      <c r="N122" s="86"/>
      <c r="O122" s="86"/>
      <c r="P122" s="86"/>
      <c r="Q122" s="86"/>
      <c r="R122" s="86"/>
    </row>
    <row r="123" spans="3:18" ht="14.25" customHeight="1" x14ac:dyDescent="0.3"/>
    <row r="124" spans="3:18" ht="14.25" customHeight="1" x14ac:dyDescent="0.3"/>
    <row r="125" spans="3:18" ht="14.25" customHeight="1" x14ac:dyDescent="0.3"/>
    <row r="126" spans="3:18" ht="14.25" customHeight="1" x14ac:dyDescent="0.3"/>
    <row r="127" spans="3:18" ht="14.25" customHeight="1" x14ac:dyDescent="0.3"/>
    <row r="128" spans="3:1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spans="9:18" ht="14.25" customHeight="1" x14ac:dyDescent="0.3"/>
    <row r="178" spans="9:18" ht="14.25" customHeight="1" x14ac:dyDescent="0.3"/>
    <row r="179" spans="9:18" ht="14.25" customHeight="1" x14ac:dyDescent="0.3"/>
    <row r="180" spans="9:18" ht="14.25" customHeight="1" x14ac:dyDescent="0.3"/>
    <row r="181" spans="9:18" ht="14.25" customHeight="1" x14ac:dyDescent="0.3"/>
    <row r="182" spans="9:18" ht="14.25" customHeight="1" x14ac:dyDescent="0.3"/>
    <row r="183" spans="9:18" ht="14.25" customHeight="1" x14ac:dyDescent="0.3"/>
    <row r="184" spans="9:18" ht="14.25" customHeight="1" x14ac:dyDescent="0.3"/>
    <row r="185" spans="9:18" ht="14.25" customHeight="1" x14ac:dyDescent="0.3"/>
    <row r="186" spans="9:18" ht="14.25" customHeight="1" x14ac:dyDescent="0.3"/>
    <row r="187" spans="9:18" ht="14.25" customHeight="1" x14ac:dyDescent="0.3"/>
    <row r="188" spans="9:18" ht="14.25" customHeight="1" x14ac:dyDescent="0.3"/>
    <row r="189" spans="9:18" ht="14.25" customHeight="1" x14ac:dyDescent="0.3"/>
    <row r="190" spans="9:18" ht="14.25" customHeight="1" x14ac:dyDescent="0.3"/>
    <row r="191" spans="9:18" ht="14.25" customHeight="1" x14ac:dyDescent="0.3"/>
    <row r="192" spans="9:18" ht="14.25" customHeight="1" x14ac:dyDescent="0.3">
      <c r="I192" s="58"/>
      <c r="J192" s="58"/>
      <c r="K192" s="58"/>
      <c r="L192" s="58"/>
      <c r="M192" s="58"/>
      <c r="N192" s="58"/>
      <c r="O192" s="58"/>
      <c r="P192" s="58"/>
      <c r="Q192" s="58"/>
      <c r="R192" s="58"/>
    </row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spans="19:19" ht="14.25" customHeight="1" x14ac:dyDescent="0.3"/>
    <row r="210" spans="19:19" ht="14.25" customHeight="1" x14ac:dyDescent="0.3"/>
    <row r="211" spans="19:19" ht="14.25" customHeight="1" x14ac:dyDescent="0.3"/>
    <row r="212" spans="19:19" ht="14.25" customHeight="1" x14ac:dyDescent="0.3"/>
    <row r="213" spans="19:19" ht="14.25" customHeight="1" x14ac:dyDescent="0.3"/>
    <row r="214" spans="19:19" ht="14.25" customHeight="1" x14ac:dyDescent="0.3"/>
    <row r="215" spans="19:19" ht="14.25" customHeight="1" x14ac:dyDescent="0.3"/>
    <row r="216" spans="19:19" ht="14.25" customHeight="1" x14ac:dyDescent="0.3"/>
    <row r="217" spans="19:19" ht="14.25" customHeight="1" x14ac:dyDescent="0.3"/>
    <row r="218" spans="19:19" ht="14.25" customHeight="1" x14ac:dyDescent="0.3">
      <c r="S218" s="87"/>
    </row>
    <row r="219" spans="19:19" ht="14.25" customHeight="1" x14ac:dyDescent="0.3"/>
    <row r="220" spans="19:19" ht="14.25" customHeight="1" x14ac:dyDescent="0.3"/>
    <row r="221" spans="19:19" ht="14.25" customHeight="1" x14ac:dyDescent="0.3"/>
    <row r="222" spans="19:19" ht="14.25" customHeight="1" x14ac:dyDescent="0.3"/>
    <row r="223" spans="19:19" ht="14.25" customHeight="1" x14ac:dyDescent="0.3"/>
    <row r="224" spans="19:19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</sheetData>
  <dataValidations count="2">
    <dataValidation type="list" allowBlank="1" showErrorMessage="1" sqref="D7" xr:uid="{00000000-0002-0000-0000-000000000000}">
      <formula1>"0,1"</formula1>
    </dataValidation>
    <dataValidation type="list" allowBlank="1" showErrorMessage="1" sqref="C3" xr:uid="{00000000-0002-0000-0000-000001000000}">
      <formula1>"$ bns except per share,$ mm except per share,$ in thousands except per share"</formula1>
    </dataValidation>
  </dataValidation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2000000}">
          <x14:formula1>
            <xm:f>Schedules!$B$22:$B$24</xm:f>
          </x14:formula1>
          <xm:sqref>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showGridLines="0" workbookViewId="0"/>
  </sheetViews>
  <sheetFormatPr defaultColWidth="14.44140625" defaultRowHeight="15" customHeight="1" x14ac:dyDescent="0.3"/>
  <cols>
    <col min="1" max="1" width="2.21875" customWidth="1"/>
    <col min="2" max="2" width="38.88671875" customWidth="1"/>
    <col min="3" max="5" width="10.109375" customWidth="1"/>
    <col min="6" max="6" width="10.88671875" customWidth="1"/>
    <col min="7" max="7" width="10.77734375" customWidth="1"/>
    <col min="8" max="8" width="10.5546875" customWidth="1"/>
    <col min="9" max="15" width="9.21875" customWidth="1"/>
    <col min="16" max="17" width="9.77734375" customWidth="1"/>
    <col min="18" max="18" width="1.109375" customWidth="1"/>
    <col min="19" max="27" width="8.77734375" customWidth="1"/>
  </cols>
  <sheetData>
    <row r="1" spans="2:17" ht="14.25" customHeight="1" x14ac:dyDescent="0.3"/>
    <row r="2" spans="2:17" ht="14.25" customHeight="1" x14ac:dyDescent="0.3"/>
    <row r="3" spans="2:17" ht="14.25" customHeight="1" x14ac:dyDescent="0.3">
      <c r="B3" s="12" t="s">
        <v>113</v>
      </c>
      <c r="C3" s="12"/>
      <c r="D3" s="12"/>
      <c r="E3" s="12"/>
      <c r="F3" s="12"/>
      <c r="G3" s="12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spans="2:17" ht="14.25" customHeight="1" x14ac:dyDescent="0.3">
      <c r="H4" s="58"/>
      <c r="I4" s="58"/>
      <c r="J4" s="58"/>
      <c r="K4" s="58"/>
      <c r="L4" s="58"/>
      <c r="M4" s="58"/>
      <c r="N4" s="58"/>
      <c r="O4" s="58"/>
      <c r="P4" s="58"/>
      <c r="Q4" s="58"/>
    </row>
    <row r="5" spans="2:17" ht="14.25" customHeight="1" x14ac:dyDescent="0.3">
      <c r="B5" s="7" t="s">
        <v>114</v>
      </c>
      <c r="C5" s="89" t="str">
        <f>'Forecasted 3 Statements'!D13</f>
        <v>Best case</v>
      </c>
      <c r="F5" s="90"/>
      <c r="G5" s="91"/>
      <c r="H5" s="16">
        <f>'Forecasted 3 Statements'!I16</f>
        <v>2023</v>
      </c>
      <c r="I5" s="16">
        <f>'Forecasted 3 Statements'!J16</f>
        <v>2024</v>
      </c>
      <c r="J5" s="16">
        <f>'Forecasted 3 Statements'!K16</f>
        <v>2025</v>
      </c>
      <c r="K5" s="16">
        <f>'Forecasted 3 Statements'!L16</f>
        <v>2026</v>
      </c>
      <c r="L5" s="16">
        <f>'Forecasted 3 Statements'!M16</f>
        <v>2027</v>
      </c>
      <c r="M5" s="16">
        <f>'Forecasted 3 Statements'!N16</f>
        <v>2028</v>
      </c>
      <c r="N5" s="16">
        <f>'Forecasted 3 Statements'!O16</f>
        <v>2029</v>
      </c>
      <c r="O5" s="16">
        <f>'Forecasted 3 Statements'!P16</f>
        <v>2030</v>
      </c>
      <c r="P5" s="16">
        <f>'Forecasted 3 Statements'!Q16</f>
        <v>2031</v>
      </c>
      <c r="Q5" s="16">
        <f>'Forecasted 3 Statements'!R16</f>
        <v>2032</v>
      </c>
    </row>
    <row r="6" spans="2:17" ht="14.25" customHeight="1" x14ac:dyDescent="0.3">
      <c r="F6" s="92" t="s">
        <v>115</v>
      </c>
      <c r="G6" s="93" t="s">
        <v>115</v>
      </c>
      <c r="H6" s="63">
        <f>'Forecasted 3 Statements'!I17</f>
        <v>45291</v>
      </c>
      <c r="I6" s="63">
        <f>'Forecasted 3 Statements'!J17</f>
        <v>45657</v>
      </c>
      <c r="J6" s="63">
        <f>'Forecasted 3 Statements'!K17</f>
        <v>46022</v>
      </c>
      <c r="K6" s="63">
        <f>'Forecasted 3 Statements'!L17</f>
        <v>46387</v>
      </c>
      <c r="L6" s="63">
        <f>'Forecasted 3 Statements'!M17</f>
        <v>46752</v>
      </c>
      <c r="M6" s="63">
        <f>'Forecasted 3 Statements'!N17</f>
        <v>47118</v>
      </c>
      <c r="N6" s="63">
        <f>'Forecasted 3 Statements'!O17</f>
        <v>47483</v>
      </c>
      <c r="O6" s="63">
        <f>'Forecasted 3 Statements'!P17</f>
        <v>47848</v>
      </c>
      <c r="P6" s="63">
        <f>'Forecasted 3 Statements'!Q17</f>
        <v>48213</v>
      </c>
      <c r="Q6" s="63">
        <f>'Forecasted 3 Statements'!R17</f>
        <v>48579</v>
      </c>
    </row>
    <row r="7" spans="2:17" ht="14.25" customHeight="1" x14ac:dyDescent="0.3">
      <c r="B7" s="94" t="s">
        <v>116</v>
      </c>
      <c r="F7" s="95" t="s">
        <v>117</v>
      </c>
      <c r="G7" s="96" t="s">
        <v>118</v>
      </c>
      <c r="H7" s="97">
        <f ca="1">OFFSET(H$21,MATCH('Forecasted 3 Statements'!$D$13,$B$22:$B$24,0)+MATCH($B7,$B$21:$B$49,0)-1,0)</f>
        <v>0.18807488377447817</v>
      </c>
      <c r="I7" s="97">
        <f ca="1">OFFSET(I$21,MATCH('Forecasted 3 Statements'!$D$13,$B$22:$B$24,0)+MATCH($B7,$B$21:$B$49,0)-1,0)</f>
        <v>0.28215459490910544</v>
      </c>
      <c r="J7" s="97">
        <f ca="1">OFFSET(J$21,MATCH('Forecasted 3 Statements'!$D$13,$B$22:$B$24,0)+MATCH($B7,$B$21:$B$49,0)-1,0)</f>
        <v>0.3762343060437327</v>
      </c>
      <c r="K7" s="97">
        <f ca="1">OFFSET(K$21,MATCH('Forecasted 3 Statements'!$D$13,$B$22:$B$24,0)+MATCH($B7,$B$21:$B$49,0)-1,0)</f>
        <v>0.32704369089462804</v>
      </c>
      <c r="L7" s="97">
        <f ca="1">OFFSET(L$21,MATCH('Forecasted 3 Statements'!$D$13,$B$22:$B$24,0)+MATCH($B7,$B$21:$B$49,0)-1,0)</f>
        <v>0.27785307574552337</v>
      </c>
      <c r="M7" s="97">
        <f ca="1">OFFSET(M$21,MATCH('Forecasted 3 Statements'!$D$13,$B$22:$B$24,0)+MATCH($B7,$B$21:$B$49,0)-1,0)</f>
        <v>0.2286624605964187</v>
      </c>
      <c r="N7" s="97">
        <f ca="1">OFFSET(N$21,MATCH('Forecasted 3 Statements'!$D$13,$B$22:$B$24,0)+MATCH($B7,$B$21:$B$49,0)-1,0)</f>
        <v>0.17947184544731404</v>
      </c>
      <c r="O7" s="97">
        <f ca="1">OFFSET(O$21,MATCH('Forecasted 3 Statements'!$D$13,$B$22:$B$24,0)+MATCH($B7,$B$21:$B$49,0)-1,0)</f>
        <v>0.13028123029820937</v>
      </c>
      <c r="P7" s="97">
        <f ca="1">OFFSET(P$21,MATCH('Forecasted 3 Statements'!$D$13,$B$22:$B$24,0)+MATCH($B7,$B$21:$B$49,0)-1,0)</f>
        <v>8.1090615149104706E-2</v>
      </c>
      <c r="Q7" s="97">
        <f ca="1">OFFSET(Q$21,MATCH('Forecasted 3 Statements'!$D$13,$B$22:$B$24,0)+MATCH($B7,$B$21:$B$49,0)-1,0)</f>
        <v>3.1900000000000032E-2</v>
      </c>
    </row>
    <row r="8" spans="2:17" ht="14.25" customHeight="1" x14ac:dyDescent="0.3">
      <c r="B8" s="94" t="s">
        <v>119</v>
      </c>
      <c r="F8" s="95"/>
      <c r="G8" s="96"/>
      <c r="H8" s="97">
        <f t="shared" ref="H8:Q8" si="0">(1-H9)</f>
        <v>0.44806853534066304</v>
      </c>
      <c r="I8" s="97">
        <f t="shared" si="0"/>
        <v>0.4235514015054973</v>
      </c>
      <c r="J8" s="97">
        <f t="shared" si="0"/>
        <v>0.39903426767033157</v>
      </c>
      <c r="K8" s="97">
        <f t="shared" si="0"/>
        <v>0.37451713383516583</v>
      </c>
      <c r="L8" s="97">
        <f t="shared" si="0"/>
        <v>0.35000000000000009</v>
      </c>
      <c r="M8" s="97">
        <f t="shared" si="0"/>
        <v>0.35000000000000009</v>
      </c>
      <c r="N8" s="97">
        <f t="shared" si="0"/>
        <v>0.35000000000000009</v>
      </c>
      <c r="O8" s="97">
        <f t="shared" si="0"/>
        <v>0.35000000000000009</v>
      </c>
      <c r="P8" s="97">
        <f t="shared" si="0"/>
        <v>0.35000000000000009</v>
      </c>
      <c r="Q8" s="97">
        <f t="shared" si="0"/>
        <v>0.35000000000000009</v>
      </c>
    </row>
    <row r="9" spans="2:17" ht="14.25" customHeight="1" x14ac:dyDescent="0.3">
      <c r="B9" s="94" t="s">
        <v>120</v>
      </c>
      <c r="F9" s="95">
        <f>(65%-'Forecasted 3 Statements'!H22)/5</f>
        <v>2.4517133835165759E-2</v>
      </c>
      <c r="G9" s="96"/>
      <c r="H9" s="97">
        <f>'Forecasted 3 Statements'!H22+Schedules!$F$9</f>
        <v>0.55193146465933696</v>
      </c>
      <c r="I9" s="97">
        <f t="shared" ref="I9:L9" si="1">H9+$F$9</f>
        <v>0.5764485984945027</v>
      </c>
      <c r="J9" s="97">
        <f t="shared" si="1"/>
        <v>0.60096573232966843</v>
      </c>
      <c r="K9" s="97">
        <f t="shared" si="1"/>
        <v>0.62548286616483417</v>
      </c>
      <c r="L9" s="97">
        <f t="shared" si="1"/>
        <v>0.64999999999999991</v>
      </c>
      <c r="M9" s="97">
        <f t="shared" ref="M9:Q9" si="2">L9</f>
        <v>0.64999999999999991</v>
      </c>
      <c r="N9" s="97">
        <f t="shared" si="2"/>
        <v>0.64999999999999991</v>
      </c>
      <c r="O9" s="97">
        <f t="shared" si="2"/>
        <v>0.64999999999999991</v>
      </c>
      <c r="P9" s="97">
        <f t="shared" si="2"/>
        <v>0.64999999999999991</v>
      </c>
      <c r="Q9" s="97">
        <f t="shared" si="2"/>
        <v>0.64999999999999991</v>
      </c>
    </row>
    <row r="10" spans="2:17" ht="14.25" customHeight="1" x14ac:dyDescent="0.3">
      <c r="B10" s="94" t="s">
        <v>121</v>
      </c>
      <c r="F10" s="95"/>
      <c r="G10" s="96"/>
      <c r="H10" s="97">
        <f ca="1">OFFSET(H$21,MATCH('Forecasted 3 Statements'!$D$13,$B$22:$B$24,0)+MATCH($B10,$B$21:$B$49,0)-1,0)</f>
        <v>0.43805339865326287</v>
      </c>
      <c r="I10" s="97">
        <f ca="1">OFFSET(I$21,MATCH('Forecasted 3 Statements'!$D$13,$B$22:$B$24,0)+MATCH($B10,$B$21:$B$49,0)-1,0)</f>
        <v>0.43805339865326287</v>
      </c>
      <c r="J10" s="97">
        <f ca="1">OFFSET(J$21,MATCH('Forecasted 3 Statements'!$D$13,$B$22:$B$24,0)+MATCH($B10,$B$21:$B$49,0)-1,0)</f>
        <v>0.43805339865326287</v>
      </c>
      <c r="K10" s="97">
        <f ca="1">OFFSET(K$21,MATCH('Forecasted 3 Statements'!$D$13,$B$22:$B$24,0)+MATCH($B10,$B$21:$B$49,0)-1,0)</f>
        <v>0.43805339865326287</v>
      </c>
      <c r="L10" s="97">
        <f ca="1">OFFSET(L$21,MATCH('Forecasted 3 Statements'!$D$13,$B$22:$B$24,0)+MATCH($B10,$B$21:$B$49,0)-1,0)</f>
        <v>0.43805339865326287</v>
      </c>
      <c r="M10" s="97">
        <f ca="1">OFFSET(M$21,MATCH('Forecasted 3 Statements'!$D$13,$B$22:$B$24,0)+MATCH($B10,$B$21:$B$49,0)-1,0)</f>
        <v>0.43805339865326287</v>
      </c>
      <c r="N10" s="97">
        <f ca="1">OFFSET(N$21,MATCH('Forecasted 3 Statements'!$D$13,$B$22:$B$24,0)+MATCH($B10,$B$21:$B$49,0)-1,0)</f>
        <v>0.43805339865326287</v>
      </c>
      <c r="O10" s="97">
        <f ca="1">OFFSET(O$21,MATCH('Forecasted 3 Statements'!$D$13,$B$22:$B$24,0)+MATCH($B10,$B$21:$B$49,0)-1,0)</f>
        <v>0.43805339865326287</v>
      </c>
      <c r="P10" s="97">
        <f ca="1">OFFSET(P$21,MATCH('Forecasted 3 Statements'!$D$13,$B$22:$B$24,0)+MATCH($B10,$B$21:$B$49,0)-1,0)</f>
        <v>0.43805339865326287</v>
      </c>
      <c r="Q10" s="97">
        <f ca="1">OFFSET(Q$21,MATCH('Forecasted 3 Statements'!$D$13,$B$22:$B$24,0)+MATCH($B10,$B$21:$B$49,0)-1,0)</f>
        <v>0.43805339865326287</v>
      </c>
    </row>
    <row r="11" spans="2:17" ht="14.25" customHeight="1" x14ac:dyDescent="0.3">
      <c r="B11" s="94" t="s">
        <v>122</v>
      </c>
      <c r="F11" s="95"/>
      <c r="G11" s="96"/>
      <c r="H11" s="97">
        <f ca="1">OFFSET(H$21,MATCH('Forecasted 3 Statements'!$D$13,$B$22:$B$24,0)+MATCH($B11,$B$21:$B$49,0)-1,0)</f>
        <v>0.14244245432241923</v>
      </c>
      <c r="I11" s="97">
        <f ca="1">OFFSET(I$21,MATCH('Forecasted 3 Statements'!$D$13,$B$22:$B$24,0)+MATCH($B11,$B$21:$B$49,0)-1,0)</f>
        <v>0.14244245432241923</v>
      </c>
      <c r="J11" s="97">
        <f ca="1">OFFSET(J$21,MATCH('Forecasted 3 Statements'!$D$13,$B$22:$B$24,0)+MATCH($B11,$B$21:$B$49,0)-1,0)</f>
        <v>0.14244245432241923</v>
      </c>
      <c r="K11" s="97">
        <f ca="1">OFFSET(K$21,MATCH('Forecasted 3 Statements'!$D$13,$B$22:$B$24,0)+MATCH($B11,$B$21:$B$49,0)-1,0)</f>
        <v>0.14244245432241923</v>
      </c>
      <c r="L11" s="97">
        <f ca="1">OFFSET(L$21,MATCH('Forecasted 3 Statements'!$D$13,$B$22:$B$24,0)+MATCH($B11,$B$21:$B$49,0)-1,0)</f>
        <v>0.14244245432241923</v>
      </c>
      <c r="M11" s="97">
        <f ca="1">OFFSET(M$21,MATCH('Forecasted 3 Statements'!$D$13,$B$22:$B$24,0)+MATCH($B11,$B$21:$B$49,0)-1,0)</f>
        <v>0.14244245432241923</v>
      </c>
      <c r="N11" s="97">
        <f ca="1">OFFSET(N$21,MATCH('Forecasted 3 Statements'!$D$13,$B$22:$B$24,0)+MATCH($B11,$B$21:$B$49,0)-1,0)</f>
        <v>0.14244245432241923</v>
      </c>
      <c r="O11" s="97">
        <f ca="1">OFFSET(O$21,MATCH('Forecasted 3 Statements'!$D$13,$B$22:$B$24,0)+MATCH($B11,$B$21:$B$49,0)-1,0)</f>
        <v>0.14244245432241923</v>
      </c>
      <c r="P11" s="97">
        <f ca="1">OFFSET(P$21,MATCH('Forecasted 3 Statements'!$D$13,$B$22:$B$24,0)+MATCH($B11,$B$21:$B$49,0)-1,0)</f>
        <v>0.14244245432241923</v>
      </c>
      <c r="Q11" s="97">
        <f ca="1">OFFSET(Q$21,MATCH('Forecasted 3 Statements'!$D$13,$B$22:$B$24,0)+MATCH($B11,$B$21:$B$49,0)-1,0)</f>
        <v>0.14244245432241923</v>
      </c>
    </row>
    <row r="12" spans="2:17" ht="14.25" customHeight="1" x14ac:dyDescent="0.3">
      <c r="B12" s="98" t="s">
        <v>123</v>
      </c>
      <c r="F12" s="95"/>
      <c r="G12" s="96"/>
      <c r="H12" s="97">
        <f ca="1">OFFSET(H$21,MATCH('Forecasted 3 Statements'!$D$13,$B$22:$B$24,0)+MATCH($B12,$B$21:$B$49,0)-1,0)</f>
        <v>1.7271747689502258E-2</v>
      </c>
      <c r="I12" s="97">
        <f ca="1">OFFSET(I$21,MATCH('Forecasted 3 Statements'!$D$13,$B$22:$B$24,0)+MATCH($B12,$B$21:$B$49,0)-1,0)</f>
        <v>1.7271747689502258E-2</v>
      </c>
      <c r="J12" s="97">
        <f ca="1">OFFSET(J$21,MATCH('Forecasted 3 Statements'!$D$13,$B$22:$B$24,0)+MATCH($B12,$B$21:$B$49,0)-1,0)</f>
        <v>1.7271747689502258E-2</v>
      </c>
      <c r="K12" s="97">
        <f ca="1">OFFSET(K$21,MATCH('Forecasted 3 Statements'!$D$13,$B$22:$B$24,0)+MATCH($B12,$B$21:$B$49,0)-1,0)</f>
        <v>1.7271747689502258E-2</v>
      </c>
      <c r="L12" s="97">
        <f ca="1">OFFSET(L$21,MATCH('Forecasted 3 Statements'!$D$13,$B$22:$B$24,0)+MATCH($B12,$B$21:$B$49,0)-1,0)</f>
        <v>1.7271747689502258E-2</v>
      </c>
      <c r="M12" s="97">
        <f ca="1">OFFSET(M$21,MATCH('Forecasted 3 Statements'!$D$13,$B$22:$B$24,0)+MATCH($B12,$B$21:$B$49,0)-1,0)</f>
        <v>1.7271747689502258E-2</v>
      </c>
      <c r="N12" s="97">
        <f ca="1">OFFSET(N$21,MATCH('Forecasted 3 Statements'!$D$13,$B$22:$B$24,0)+MATCH($B12,$B$21:$B$49,0)-1,0)</f>
        <v>1.7271747689502258E-2</v>
      </c>
      <c r="O12" s="97">
        <f ca="1">OFFSET(O$21,MATCH('Forecasted 3 Statements'!$D$13,$B$22:$B$24,0)+MATCH($B12,$B$21:$B$49,0)-1,0)</f>
        <v>1.7271747689502258E-2</v>
      </c>
      <c r="P12" s="97">
        <f ca="1">OFFSET(P$21,MATCH('Forecasted 3 Statements'!$D$13,$B$22:$B$24,0)+MATCH($B12,$B$21:$B$49,0)-1,0)</f>
        <v>1.7271747689502258E-2</v>
      </c>
      <c r="Q12" s="97">
        <f ca="1">OFFSET(Q$21,MATCH('Forecasted 3 Statements'!$D$13,$B$22:$B$24,0)+MATCH($B12,$B$21:$B$49,0)-1,0)</f>
        <v>1.7271747689502258E-2</v>
      </c>
    </row>
    <row r="13" spans="2:17" ht="14.25" customHeight="1" x14ac:dyDescent="0.3">
      <c r="B13" s="98" t="s">
        <v>124</v>
      </c>
      <c r="F13" s="95"/>
      <c r="G13" s="96"/>
      <c r="H13" s="97">
        <f ca="1">OFFSET(H$21,MATCH('Forecasted 3 Statements'!$D$13,$B$22:$B$24,0)+MATCH($B13,$B$21:$B$49,0)-1,0)</f>
        <v>0.14341834152045116</v>
      </c>
      <c r="I13" s="97">
        <f ca="1">OFFSET(I$21,MATCH('Forecasted 3 Statements'!$D$13,$B$22:$B$24,0)+MATCH($B13,$B$21:$B$49,0)-1,0)</f>
        <v>0.14341834152045116</v>
      </c>
      <c r="J13" s="97">
        <f ca="1">OFFSET(J$21,MATCH('Forecasted 3 Statements'!$D$13,$B$22:$B$24,0)+MATCH($B13,$B$21:$B$49,0)-1,0)</f>
        <v>0.14341834152045116</v>
      </c>
      <c r="K13" s="97">
        <f ca="1">OFFSET(K$21,MATCH('Forecasted 3 Statements'!$D$13,$B$22:$B$24,0)+MATCH($B13,$B$21:$B$49,0)-1,0)</f>
        <v>0.14341834152045116</v>
      </c>
      <c r="L13" s="97">
        <f ca="1">OFFSET(L$21,MATCH('Forecasted 3 Statements'!$D$13,$B$22:$B$24,0)+MATCH($B13,$B$21:$B$49,0)-1,0)</f>
        <v>0.14341834152045116</v>
      </c>
      <c r="M13" s="97">
        <f ca="1">OFFSET(M$21,MATCH('Forecasted 3 Statements'!$D$13,$B$22:$B$24,0)+MATCH($B13,$B$21:$B$49,0)-1,0)</f>
        <v>0.14341834152045116</v>
      </c>
      <c r="N13" s="97">
        <f ca="1">OFFSET(N$21,MATCH('Forecasted 3 Statements'!$D$13,$B$22:$B$24,0)+MATCH($B13,$B$21:$B$49,0)-1,0)</f>
        <v>0.14341834152045116</v>
      </c>
      <c r="O13" s="97">
        <f ca="1">OFFSET(O$21,MATCH('Forecasted 3 Statements'!$D$13,$B$22:$B$24,0)+MATCH($B13,$B$21:$B$49,0)-1,0)</f>
        <v>0.14341834152045116</v>
      </c>
      <c r="P13" s="97">
        <f ca="1">OFFSET(P$21,MATCH('Forecasted 3 Statements'!$D$13,$B$22:$B$24,0)+MATCH($B13,$B$21:$B$49,0)-1,0)</f>
        <v>0.14341834152045116</v>
      </c>
      <c r="Q13" s="97">
        <f ca="1">OFFSET(Q$21,MATCH('Forecasted 3 Statements'!$D$13,$B$22:$B$24,0)+MATCH($B13,$B$21:$B$49,0)-1,0)</f>
        <v>0.14341834152045116</v>
      </c>
    </row>
    <row r="14" spans="2:17" ht="14.25" customHeight="1" x14ac:dyDescent="0.3">
      <c r="B14" s="98" t="s">
        <v>125</v>
      </c>
      <c r="F14" s="95"/>
      <c r="G14" s="96"/>
      <c r="H14" s="97">
        <f ca="1">OFFSET(H$21,MATCH('Forecasted 3 Statements'!$D$13,$B$22:$B$24,0)+MATCH($B14,$B$21:$B$49,0)-1,0)</f>
        <v>5.7006092254134028E-2</v>
      </c>
      <c r="I14" s="97">
        <f ca="1">OFFSET(I$21,MATCH('Forecasted 3 Statements'!$D$13,$B$22:$B$24,0)+MATCH($B14,$B$21:$B$49,0)-1,0)</f>
        <v>5.7006092254134028E-2</v>
      </c>
      <c r="J14" s="97">
        <f ca="1">OFFSET(J$21,MATCH('Forecasted 3 Statements'!$D$13,$B$22:$B$24,0)+MATCH($B14,$B$21:$B$49,0)-1,0)</f>
        <v>5.7006092254134028E-2</v>
      </c>
      <c r="K14" s="97">
        <f ca="1">OFFSET(K$21,MATCH('Forecasted 3 Statements'!$D$13,$B$22:$B$24,0)+MATCH($B14,$B$21:$B$49,0)-1,0)</f>
        <v>5.7006092254134028E-2</v>
      </c>
      <c r="L14" s="97">
        <f ca="1">OFFSET(L$21,MATCH('Forecasted 3 Statements'!$D$13,$B$22:$B$24,0)+MATCH($B14,$B$21:$B$49,0)-1,0)</f>
        <v>5.7006092254134028E-2</v>
      </c>
      <c r="M14" s="97">
        <f ca="1">OFFSET(M$21,MATCH('Forecasted 3 Statements'!$D$13,$B$22:$B$24,0)+MATCH($B14,$B$21:$B$49,0)-1,0)</f>
        <v>5.7006092254134028E-2</v>
      </c>
      <c r="N14" s="97">
        <f ca="1">OFFSET(N$21,MATCH('Forecasted 3 Statements'!$D$13,$B$22:$B$24,0)+MATCH($B14,$B$21:$B$49,0)-1,0)</f>
        <v>5.7006092254134028E-2</v>
      </c>
      <c r="O14" s="97">
        <f ca="1">OFFSET(O$21,MATCH('Forecasted 3 Statements'!$D$13,$B$22:$B$24,0)+MATCH($B14,$B$21:$B$49,0)-1,0)</f>
        <v>5.7006092254134028E-2</v>
      </c>
      <c r="P14" s="97">
        <f ca="1">OFFSET(P$21,MATCH('Forecasted 3 Statements'!$D$13,$B$22:$B$24,0)+MATCH($B14,$B$21:$B$49,0)-1,0)</f>
        <v>5.7006092254134028E-2</v>
      </c>
      <c r="Q14" s="97">
        <f ca="1">OFFSET(Q$21,MATCH('Forecasted 3 Statements'!$D$13,$B$22:$B$24,0)+MATCH($B14,$B$21:$B$49,0)-1,0)</f>
        <v>5.7006092254134028E-2</v>
      </c>
    </row>
    <row r="15" spans="2:17" ht="14.25" customHeight="1" x14ac:dyDescent="0.3">
      <c r="B15" s="98" t="s">
        <v>34</v>
      </c>
      <c r="F15" s="95"/>
      <c r="G15" s="96"/>
      <c r="H15" s="99">
        <f>AVERAGE('Forecasted 3 Statements'!$D$36:$H$36)</f>
        <v>349.4</v>
      </c>
      <c r="I15" s="99">
        <f>AVERAGE('Forecasted 3 Statements'!$D$36:$H$36)</f>
        <v>349.4</v>
      </c>
      <c r="J15" s="99">
        <f>AVERAGE('Forecasted 3 Statements'!$D$36:$H$36)</f>
        <v>349.4</v>
      </c>
      <c r="K15" s="99">
        <f>AVERAGE('Forecasted 3 Statements'!$D$36:$H$36)</f>
        <v>349.4</v>
      </c>
      <c r="L15" s="99">
        <f>AVERAGE('Forecasted 3 Statements'!$D$36:$H$36)</f>
        <v>349.4</v>
      </c>
      <c r="M15" s="99">
        <f>AVERAGE('Forecasted 3 Statements'!$D$36:$H$36)</f>
        <v>349.4</v>
      </c>
      <c r="N15" s="99">
        <f>AVERAGE('Forecasted 3 Statements'!$D$36:$H$36)</f>
        <v>349.4</v>
      </c>
      <c r="O15" s="99">
        <f>AVERAGE('Forecasted 3 Statements'!$D$36:$H$36)</f>
        <v>349.4</v>
      </c>
      <c r="P15" s="99">
        <f>AVERAGE('Forecasted 3 Statements'!$D$36:$H$36)</f>
        <v>349.4</v>
      </c>
      <c r="Q15" s="99">
        <f>AVERAGE('Forecasted 3 Statements'!$D$36:$H$36)</f>
        <v>349.4</v>
      </c>
    </row>
    <row r="16" spans="2:17" ht="14.25" customHeight="1" x14ac:dyDescent="0.3">
      <c r="B16" s="98" t="s">
        <v>42</v>
      </c>
      <c r="F16" s="95"/>
      <c r="G16" s="96"/>
      <c r="H16" s="99">
        <f>AVERAGE('Forecasted 3 Statements'!$D$41:$F$41)</f>
        <v>-797</v>
      </c>
      <c r="I16" s="99">
        <f>AVERAGE('Forecasted 3 Statements'!$D$41:$F$41)</f>
        <v>-797</v>
      </c>
      <c r="J16" s="99">
        <f>AVERAGE('Forecasted 3 Statements'!$D$41:$F$41)</f>
        <v>-797</v>
      </c>
      <c r="K16" s="99">
        <f>AVERAGE('Forecasted 3 Statements'!$D$41:$F$41)</f>
        <v>-797</v>
      </c>
      <c r="L16" s="99">
        <f>AVERAGE('Forecasted 3 Statements'!$D$41:$F$41)</f>
        <v>-797</v>
      </c>
      <c r="M16" s="99">
        <f>AVERAGE('Forecasted 3 Statements'!$D$41:$F$41)</f>
        <v>-797</v>
      </c>
      <c r="N16" s="99">
        <f>AVERAGE('Forecasted 3 Statements'!$D$41:$F$41)</f>
        <v>-797</v>
      </c>
      <c r="O16" s="99">
        <f>AVERAGE('Forecasted 3 Statements'!$D$41:$F$41)</f>
        <v>-797</v>
      </c>
      <c r="P16" s="99">
        <f>AVERAGE('Forecasted 3 Statements'!$D$41:$F$41)</f>
        <v>-797</v>
      </c>
      <c r="Q16" s="99">
        <f>AVERAGE('Forecasted 3 Statements'!$D$41:$F$41)</f>
        <v>-797</v>
      </c>
    </row>
    <row r="17" spans="2:19" ht="14.25" customHeight="1" x14ac:dyDescent="0.3">
      <c r="B17" s="98" t="s">
        <v>44</v>
      </c>
      <c r="F17" s="95"/>
      <c r="G17" s="96"/>
      <c r="H17" s="99">
        <f>AVERAGE('Forecasted 3 Statements'!$D$42:$H$42)</f>
        <v>2.4</v>
      </c>
      <c r="I17" s="99">
        <f>AVERAGE('Forecasted 3 Statements'!$D$42:$H$42)</f>
        <v>2.4</v>
      </c>
      <c r="J17" s="99">
        <f>AVERAGE('Forecasted 3 Statements'!$D$42:$H$42)</f>
        <v>2.4</v>
      </c>
      <c r="K17" s="99">
        <f>AVERAGE('Forecasted 3 Statements'!$D$42:$H$42)</f>
        <v>2.4</v>
      </c>
      <c r="L17" s="99">
        <f>AVERAGE('Forecasted 3 Statements'!$D$42:$H$42)</f>
        <v>2.4</v>
      </c>
      <c r="M17" s="99">
        <f>AVERAGE('Forecasted 3 Statements'!$D$42:$H$42)</f>
        <v>2.4</v>
      </c>
      <c r="N17" s="99">
        <f>AVERAGE('Forecasted 3 Statements'!$D$42:$H$42)</f>
        <v>2.4</v>
      </c>
      <c r="O17" s="99">
        <f>AVERAGE('Forecasted 3 Statements'!$D$42:$H$42)</f>
        <v>2.4</v>
      </c>
      <c r="P17" s="99">
        <f>AVERAGE('Forecasted 3 Statements'!$D$42:$H$42)</f>
        <v>2.4</v>
      </c>
      <c r="Q17" s="99">
        <f>AVERAGE('Forecasted 3 Statements'!$D$42:$H$42)</f>
        <v>2.4</v>
      </c>
    </row>
    <row r="18" spans="2:19" ht="14.25" customHeight="1" x14ac:dyDescent="0.3">
      <c r="B18" s="98" t="s">
        <v>49</v>
      </c>
      <c r="F18" s="95"/>
      <c r="G18" s="96"/>
      <c r="H18" s="50">
        <f>AVERAGE('Forecasted 3 Statements'!$D$45:$G$45)</f>
        <v>0.13003801344496763</v>
      </c>
      <c r="I18" s="50">
        <f>AVERAGE('Forecasted 3 Statements'!$D$45:$G$45)</f>
        <v>0.13003801344496763</v>
      </c>
      <c r="J18" s="50">
        <f>AVERAGE('Forecasted 3 Statements'!$D$45:$G$45)</f>
        <v>0.13003801344496763</v>
      </c>
      <c r="K18" s="50">
        <f>AVERAGE('Forecasted 3 Statements'!$D$45:$G$45)</f>
        <v>0.13003801344496763</v>
      </c>
      <c r="L18" s="50">
        <f>AVERAGE('Forecasted 3 Statements'!$D$45:$G$45)</f>
        <v>0.13003801344496763</v>
      </c>
      <c r="M18" s="50">
        <f>AVERAGE('Forecasted 3 Statements'!$D$45:$G$45)</f>
        <v>0.13003801344496763</v>
      </c>
      <c r="N18" s="50">
        <f>AVERAGE('Forecasted 3 Statements'!$D$45:$G$45)</f>
        <v>0.13003801344496763</v>
      </c>
      <c r="O18" s="50">
        <f>AVERAGE('Forecasted 3 Statements'!$D$45:$G$45)</f>
        <v>0.13003801344496763</v>
      </c>
      <c r="P18" s="50">
        <f>AVERAGE('Forecasted 3 Statements'!$D$45:$G$45)</f>
        <v>0.13003801344496763</v>
      </c>
      <c r="Q18" s="50">
        <f>AVERAGE('Forecasted 3 Statements'!$D$45:$G$45)</f>
        <v>0.13003801344496763</v>
      </c>
    </row>
    <row r="19" spans="2:19" ht="14.25" customHeight="1" x14ac:dyDescent="0.3">
      <c r="B19" s="100" t="s">
        <v>126</v>
      </c>
      <c r="C19" s="101"/>
      <c r="D19" s="101"/>
      <c r="E19" s="101"/>
      <c r="F19" s="102"/>
      <c r="G19" s="103"/>
      <c r="H19" s="104">
        <f>AVERAGE('Forecasted 3 Statements'!$D$52:$H$52)</f>
        <v>2.738227788849228E-2</v>
      </c>
      <c r="I19" s="104">
        <f>AVERAGE('Forecasted 3 Statements'!$D$52:$H$52)</f>
        <v>2.738227788849228E-2</v>
      </c>
      <c r="J19" s="104">
        <f>AVERAGE('Forecasted 3 Statements'!$D$52:$H$52)</f>
        <v>2.738227788849228E-2</v>
      </c>
      <c r="K19" s="104">
        <f>AVERAGE('Forecasted 3 Statements'!$D$52:$H$52)</f>
        <v>2.738227788849228E-2</v>
      </c>
      <c r="L19" s="104">
        <f>AVERAGE('Forecasted 3 Statements'!$D$52:$H$52)</f>
        <v>2.738227788849228E-2</v>
      </c>
      <c r="M19" s="104">
        <f>AVERAGE('Forecasted 3 Statements'!$D$52:$H$52)</f>
        <v>2.738227788849228E-2</v>
      </c>
      <c r="N19" s="104">
        <f>AVERAGE('Forecasted 3 Statements'!$D$52:$H$52)</f>
        <v>2.738227788849228E-2</v>
      </c>
      <c r="O19" s="104">
        <f>AVERAGE('Forecasted 3 Statements'!$D$52:$H$52)</f>
        <v>2.738227788849228E-2</v>
      </c>
      <c r="P19" s="104">
        <f>AVERAGE('Forecasted 3 Statements'!$D$52:$H$52)</f>
        <v>2.738227788849228E-2</v>
      </c>
      <c r="Q19" s="104">
        <f>AVERAGE('Forecasted 3 Statements'!$D$52:$H$52)</f>
        <v>2.738227788849228E-2</v>
      </c>
    </row>
    <row r="20" spans="2:19" ht="14.25" customHeight="1" x14ac:dyDescent="0.3">
      <c r="B20" s="98"/>
      <c r="F20" s="95"/>
      <c r="G20" s="96"/>
      <c r="H20" s="99"/>
      <c r="I20" s="99"/>
      <c r="J20" s="99"/>
      <c r="K20" s="99"/>
      <c r="L20" s="99"/>
      <c r="M20" s="99"/>
      <c r="N20" s="99"/>
      <c r="O20" s="99"/>
      <c r="P20" s="99"/>
      <c r="Q20" s="99"/>
    </row>
    <row r="21" spans="2:19" ht="14.25" customHeight="1" x14ac:dyDescent="0.3">
      <c r="B21" s="94" t="s">
        <v>116</v>
      </c>
      <c r="F21" s="105"/>
      <c r="G21" s="106"/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2:19" ht="14.25" customHeight="1" x14ac:dyDescent="0.3">
      <c r="B22" s="47" t="s">
        <v>127</v>
      </c>
      <c r="F22" s="107">
        <v>9.4079711134627278E-2</v>
      </c>
      <c r="G22" s="108">
        <v>4.9190615149104673E-2</v>
      </c>
      <c r="H22" s="109">
        <f>'Financial Statements'!T9+Schedules!F22</f>
        <v>0.18807488377447817</v>
      </c>
      <c r="I22" s="109">
        <f t="shared" ref="I22:J22" si="3">H22+$F$22</f>
        <v>0.28215459490910544</v>
      </c>
      <c r="J22" s="109">
        <f t="shared" si="3"/>
        <v>0.3762343060437327</v>
      </c>
      <c r="K22" s="109">
        <f t="shared" ref="K22:Q22" si="4">J22-$G$22</f>
        <v>0.32704369089462804</v>
      </c>
      <c r="L22" s="109">
        <f t="shared" si="4"/>
        <v>0.27785307574552337</v>
      </c>
      <c r="M22" s="109">
        <f t="shared" si="4"/>
        <v>0.2286624605964187</v>
      </c>
      <c r="N22" s="109">
        <f t="shared" si="4"/>
        <v>0.17947184544731404</v>
      </c>
      <c r="O22" s="109">
        <f t="shared" si="4"/>
        <v>0.13028123029820937</v>
      </c>
      <c r="P22" s="109">
        <f t="shared" si="4"/>
        <v>8.1090615149104706E-2</v>
      </c>
      <c r="Q22" s="109">
        <f t="shared" si="4"/>
        <v>3.1900000000000032E-2</v>
      </c>
      <c r="R22" s="20"/>
      <c r="S22" s="20" t="s">
        <v>128</v>
      </c>
    </row>
    <row r="23" spans="2:19" ht="14.25" customHeight="1" x14ac:dyDescent="0.3">
      <c r="B23" s="47" t="s">
        <v>12</v>
      </c>
      <c r="F23" s="95">
        <v>2.9429261051449867E-2</v>
      </c>
      <c r="G23" s="96">
        <v>8.9366666666666664E-2</v>
      </c>
      <c r="H23" s="109">
        <f>'Financial Statements'!T9+Schedules!F23</f>
        <v>0.12342443369130078</v>
      </c>
      <c r="I23" s="109">
        <f t="shared" ref="I23:N23" si="5">H23+$F$23</f>
        <v>0.15285369474275065</v>
      </c>
      <c r="J23" s="109">
        <f t="shared" si="5"/>
        <v>0.18228295579420051</v>
      </c>
      <c r="K23" s="109">
        <f t="shared" si="5"/>
        <v>0.21171221684565036</v>
      </c>
      <c r="L23" s="109">
        <f t="shared" si="5"/>
        <v>0.24114147789710022</v>
      </c>
      <c r="M23" s="109">
        <f t="shared" si="5"/>
        <v>0.2705707389485501</v>
      </c>
      <c r="N23" s="109">
        <f t="shared" si="5"/>
        <v>0.3</v>
      </c>
      <c r="O23" s="109">
        <f t="shared" ref="O23:Q23" si="6">N23-$G$23</f>
        <v>0.21063333333333334</v>
      </c>
      <c r="P23" s="109">
        <f t="shared" si="6"/>
        <v>0.12126666666666668</v>
      </c>
      <c r="Q23" s="109">
        <f t="shared" si="6"/>
        <v>3.1900000000000012E-2</v>
      </c>
      <c r="R23" s="20"/>
      <c r="S23" s="20" t="s">
        <v>129</v>
      </c>
    </row>
    <row r="24" spans="2:19" ht="14.25" customHeight="1" x14ac:dyDescent="0.3">
      <c r="B24" s="47" t="s">
        <v>130</v>
      </c>
      <c r="F24" s="110">
        <v>4.2978642670367218E-2</v>
      </c>
      <c r="G24" s="111">
        <v>2.7290157235850369E-2</v>
      </c>
      <c r="H24" s="109">
        <f>'Financial Statements'!$T$9+Schedules!$F$24</f>
        <v>0.13697381531021813</v>
      </c>
      <c r="I24" s="109">
        <f t="shared" ref="I24:J24" si="7">H24+$F$24</f>
        <v>0.17995245798058535</v>
      </c>
      <c r="J24" s="109">
        <f t="shared" si="7"/>
        <v>0.22293110065095256</v>
      </c>
      <c r="K24" s="109">
        <f t="shared" ref="K24:Q24" si="8">J24-$G$24</f>
        <v>0.19564094341510219</v>
      </c>
      <c r="L24" s="109">
        <f t="shared" si="8"/>
        <v>0.16835078617925181</v>
      </c>
      <c r="M24" s="109">
        <f t="shared" si="8"/>
        <v>0.14106062894340143</v>
      </c>
      <c r="N24" s="109">
        <f t="shared" si="8"/>
        <v>0.11377047170755106</v>
      </c>
      <c r="O24" s="109">
        <f t="shared" si="8"/>
        <v>8.6480314471700681E-2</v>
      </c>
      <c r="P24" s="109">
        <f t="shared" si="8"/>
        <v>5.9190157235850312E-2</v>
      </c>
      <c r="Q24" s="109">
        <f t="shared" si="8"/>
        <v>3.1899999999999942E-2</v>
      </c>
      <c r="R24" s="20"/>
      <c r="S24" s="20" t="s">
        <v>131</v>
      </c>
    </row>
    <row r="25" spans="2:19" ht="14.25" customHeight="1" x14ac:dyDescent="0.3">
      <c r="B25" s="47"/>
      <c r="F25" s="110"/>
      <c r="G25" s="111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20"/>
      <c r="S25" s="20"/>
    </row>
    <row r="26" spans="2:19" ht="14.25" customHeight="1" x14ac:dyDescent="0.3">
      <c r="B26" s="52" t="s">
        <v>121</v>
      </c>
      <c r="F26" s="95"/>
      <c r="G26" s="96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20"/>
      <c r="S26" s="20"/>
    </row>
    <row r="27" spans="2:19" ht="14.25" customHeight="1" x14ac:dyDescent="0.3">
      <c r="B27" s="47" t="s">
        <v>127</v>
      </c>
      <c r="F27" s="110">
        <v>0</v>
      </c>
      <c r="G27" s="111">
        <v>0</v>
      </c>
      <c r="H27" s="109">
        <f>'Financial Statements'!$L$11</f>
        <v>0.43805339865326287</v>
      </c>
      <c r="I27" s="109">
        <f>'Financial Statements'!$L$11</f>
        <v>0.43805339865326287</v>
      </c>
      <c r="J27" s="109">
        <f>'Financial Statements'!$L$11</f>
        <v>0.43805339865326287</v>
      </c>
      <c r="K27" s="109">
        <f>'Financial Statements'!$L$11</f>
        <v>0.43805339865326287</v>
      </c>
      <c r="L27" s="109">
        <f>'Financial Statements'!$L$11</f>
        <v>0.43805339865326287</v>
      </c>
      <c r="M27" s="109">
        <f>'Financial Statements'!$L$11</f>
        <v>0.43805339865326287</v>
      </c>
      <c r="N27" s="109">
        <f>'Financial Statements'!$L$11</f>
        <v>0.43805339865326287</v>
      </c>
      <c r="O27" s="109">
        <f>'Financial Statements'!$L$11</f>
        <v>0.43805339865326287</v>
      </c>
      <c r="P27" s="109">
        <f>'Financial Statements'!$L$11</f>
        <v>0.43805339865326287</v>
      </c>
      <c r="Q27" s="109">
        <f>'Financial Statements'!$L$11</f>
        <v>0.43805339865326287</v>
      </c>
      <c r="R27" s="20"/>
      <c r="S27" s="20" t="s">
        <v>132</v>
      </c>
    </row>
    <row r="28" spans="2:19" ht="14.25" customHeight="1" x14ac:dyDescent="0.3">
      <c r="B28" s="47" t="s">
        <v>12</v>
      </c>
      <c r="F28" s="110">
        <v>0</v>
      </c>
      <c r="G28" s="111">
        <v>8.2557503623380182E-3</v>
      </c>
      <c r="H28" s="109">
        <f>'Financial Statements'!$L$11</f>
        <v>0.43805339865326287</v>
      </c>
      <c r="I28" s="109">
        <f>'Financial Statements'!$L$11</f>
        <v>0.43805339865326287</v>
      </c>
      <c r="J28" s="109">
        <f>'Financial Statements'!$L$11</f>
        <v>0.43805339865326287</v>
      </c>
      <c r="K28" s="109">
        <f>'Financial Statements'!$L$11</f>
        <v>0.43805339865326287</v>
      </c>
      <c r="L28" s="109">
        <f>'Financial Statements'!$L$11</f>
        <v>0.43805339865326287</v>
      </c>
      <c r="M28" s="109">
        <f>'Financial Statements'!$L$11</f>
        <v>0.43805339865326287</v>
      </c>
      <c r="N28" s="109">
        <f>'Financial Statements'!$L$11</f>
        <v>0.43805339865326287</v>
      </c>
      <c r="O28" s="109">
        <f>'Financial Statements'!$L$11</f>
        <v>0.43805339865326287</v>
      </c>
      <c r="P28" s="109">
        <f>'Financial Statements'!$L$11</f>
        <v>0.43805339865326287</v>
      </c>
      <c r="Q28" s="109">
        <f>'Financial Statements'!$L$11</f>
        <v>0.43805339865326287</v>
      </c>
      <c r="R28" s="20"/>
      <c r="S28" s="20" t="s">
        <v>133</v>
      </c>
    </row>
    <row r="29" spans="2:19" ht="14.25" customHeight="1" x14ac:dyDescent="0.3">
      <c r="B29" s="47" t="s">
        <v>130</v>
      </c>
      <c r="F29" s="110">
        <v>0</v>
      </c>
      <c r="G29" s="108">
        <v>4.9534502174028109E-3</v>
      </c>
      <c r="H29" s="109">
        <f>'Financial Statements'!$L$11-G29</f>
        <v>0.43309994843586008</v>
      </c>
      <c r="I29" s="109">
        <f t="shared" ref="I29:L29" si="9">H29-$G$29</f>
        <v>0.42814649821845729</v>
      </c>
      <c r="J29" s="109">
        <f t="shared" si="9"/>
        <v>0.42319304800105451</v>
      </c>
      <c r="K29" s="109">
        <f t="shared" si="9"/>
        <v>0.41823959778365172</v>
      </c>
      <c r="L29" s="109">
        <f t="shared" si="9"/>
        <v>0.41328614756624893</v>
      </c>
      <c r="M29" s="109">
        <f t="shared" ref="M29:Q29" si="10">L29+$F$29</f>
        <v>0.41328614756624893</v>
      </c>
      <c r="N29" s="109">
        <f t="shared" si="10"/>
        <v>0.41328614756624893</v>
      </c>
      <c r="O29" s="109">
        <f t="shared" si="10"/>
        <v>0.41328614756624893</v>
      </c>
      <c r="P29" s="109">
        <f t="shared" si="10"/>
        <v>0.41328614756624893</v>
      </c>
      <c r="Q29" s="109">
        <f t="shared" si="10"/>
        <v>0.41328614756624893</v>
      </c>
      <c r="R29" s="20"/>
      <c r="S29" s="20" t="s">
        <v>134</v>
      </c>
    </row>
    <row r="30" spans="2:19" ht="14.25" customHeight="1" x14ac:dyDescent="0.3">
      <c r="B30" s="47"/>
      <c r="F30" s="110"/>
      <c r="G30" s="108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  <c r="S30" s="20"/>
    </row>
    <row r="31" spans="2:19" ht="14.25" customHeight="1" x14ac:dyDescent="0.3">
      <c r="B31" s="52" t="s">
        <v>122</v>
      </c>
      <c r="F31" s="95"/>
      <c r="G31" s="96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20"/>
      <c r="S31" s="20"/>
    </row>
    <row r="32" spans="2:19" ht="14.25" customHeight="1" x14ac:dyDescent="0.3">
      <c r="B32" s="47" t="s">
        <v>127</v>
      </c>
      <c r="E32" s="113"/>
      <c r="F32" s="110">
        <v>0</v>
      </c>
      <c r="G32" s="111">
        <v>0</v>
      </c>
      <c r="H32" s="109">
        <f>'Financial Statements'!$M$12</f>
        <v>0.14244245432241923</v>
      </c>
      <c r="I32" s="109">
        <f>'Financial Statements'!$M$12</f>
        <v>0.14244245432241923</v>
      </c>
      <c r="J32" s="109">
        <f>'Financial Statements'!$M$12</f>
        <v>0.14244245432241923</v>
      </c>
      <c r="K32" s="109">
        <f>'Financial Statements'!$M$12</f>
        <v>0.14244245432241923</v>
      </c>
      <c r="L32" s="109">
        <f>'Financial Statements'!$M$12</f>
        <v>0.14244245432241923</v>
      </c>
      <c r="M32" s="109">
        <f>'Financial Statements'!$M$12</f>
        <v>0.14244245432241923</v>
      </c>
      <c r="N32" s="109">
        <f>'Financial Statements'!$M$12</f>
        <v>0.14244245432241923</v>
      </c>
      <c r="O32" s="109">
        <f>'Financial Statements'!$M$12</f>
        <v>0.14244245432241923</v>
      </c>
      <c r="P32" s="109">
        <f>'Financial Statements'!$M$12</f>
        <v>0.14244245432241923</v>
      </c>
      <c r="Q32" s="109">
        <f>'Financial Statements'!$M$12</f>
        <v>0.14244245432241923</v>
      </c>
      <c r="R32" s="20"/>
      <c r="S32" s="20" t="s">
        <v>135</v>
      </c>
    </row>
    <row r="33" spans="2:19" ht="14.25" customHeight="1" x14ac:dyDescent="0.3">
      <c r="B33" s="47" t="s">
        <v>12</v>
      </c>
      <c r="E33" s="7"/>
      <c r="F33" s="110">
        <v>0</v>
      </c>
      <c r="G33" s="111">
        <v>8.7847815098614432E-3</v>
      </c>
      <c r="H33" s="109">
        <f>'Financial Statements'!L12-Schedules!$G$33</f>
        <v>0.13365767281255778</v>
      </c>
      <c r="I33" s="109">
        <f>H33-G33</f>
        <v>0.12487289130269633</v>
      </c>
      <c r="J33" s="109">
        <f>'Financial Statements'!$O$12</f>
        <v>0.12487289130269634</v>
      </c>
      <c r="K33" s="109">
        <f>'Financial Statements'!$O$12</f>
        <v>0.12487289130269634</v>
      </c>
      <c r="L33" s="109">
        <f>'Financial Statements'!$O$12</f>
        <v>0.12487289130269634</v>
      </c>
      <c r="M33" s="109">
        <f>'Financial Statements'!$O$12</f>
        <v>0.12487289130269634</v>
      </c>
      <c r="N33" s="109">
        <f>'Financial Statements'!$O$12</f>
        <v>0.12487289130269634</v>
      </c>
      <c r="O33" s="109">
        <f>'Financial Statements'!$O$12</f>
        <v>0.12487289130269634</v>
      </c>
      <c r="P33" s="109">
        <f>'Financial Statements'!$O$12</f>
        <v>0.12487289130269634</v>
      </c>
      <c r="Q33" s="109">
        <f>'Financial Statements'!$O$12</f>
        <v>0.12487289130269634</v>
      </c>
      <c r="R33" s="20"/>
      <c r="S33" s="20" t="s">
        <v>136</v>
      </c>
    </row>
    <row r="34" spans="2:19" ht="14.25" customHeight="1" x14ac:dyDescent="0.3">
      <c r="B34" s="47" t="s">
        <v>130</v>
      </c>
      <c r="E34" s="113"/>
      <c r="F34" s="110">
        <v>0</v>
      </c>
      <c r="G34" s="111">
        <v>0</v>
      </c>
      <c r="H34" s="109">
        <f>'Financial Statements'!$N$12</f>
        <v>0.11070703303079282</v>
      </c>
      <c r="I34" s="109">
        <f>'Financial Statements'!$N$12</f>
        <v>0.11070703303079282</v>
      </c>
      <c r="J34" s="109">
        <f>'Financial Statements'!$N$12</f>
        <v>0.11070703303079282</v>
      </c>
      <c r="K34" s="109">
        <f>'Financial Statements'!$N$12</f>
        <v>0.11070703303079282</v>
      </c>
      <c r="L34" s="109">
        <f>'Financial Statements'!$N$12</f>
        <v>0.11070703303079282</v>
      </c>
      <c r="M34" s="109">
        <f>'Financial Statements'!$N$12</f>
        <v>0.11070703303079282</v>
      </c>
      <c r="N34" s="109">
        <f>'Financial Statements'!$N$12</f>
        <v>0.11070703303079282</v>
      </c>
      <c r="O34" s="109">
        <f>'Financial Statements'!$N$12</f>
        <v>0.11070703303079282</v>
      </c>
      <c r="P34" s="109">
        <f>'Financial Statements'!$N$12</f>
        <v>0.11070703303079282</v>
      </c>
      <c r="Q34" s="109">
        <f>'Financial Statements'!$N$12</f>
        <v>0.11070703303079282</v>
      </c>
      <c r="R34" s="20"/>
      <c r="S34" s="20" t="s">
        <v>137</v>
      </c>
    </row>
    <row r="35" spans="2:19" ht="14.25" customHeight="1" x14ac:dyDescent="0.3">
      <c r="B35" s="47"/>
      <c r="E35" s="113"/>
      <c r="F35" s="110"/>
      <c r="G35" s="111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20"/>
      <c r="S35" s="20"/>
    </row>
    <row r="36" spans="2:19" ht="14.25" customHeight="1" x14ac:dyDescent="0.3">
      <c r="B36" s="52" t="s">
        <v>123</v>
      </c>
      <c r="F36" s="95"/>
      <c r="G36" s="96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20"/>
      <c r="S36" s="20"/>
    </row>
    <row r="37" spans="2:19" ht="14.25" customHeight="1" x14ac:dyDescent="0.3">
      <c r="B37" s="47" t="s">
        <v>127</v>
      </c>
      <c r="F37" s="110">
        <v>0</v>
      </c>
      <c r="G37" s="111">
        <v>0</v>
      </c>
      <c r="H37" s="109">
        <f>'Financial Statements'!$N$13</f>
        <v>1.7271747689502258E-2</v>
      </c>
      <c r="I37" s="109">
        <f t="shared" ref="I37:Q37" si="11">H37</f>
        <v>1.7271747689502258E-2</v>
      </c>
      <c r="J37" s="109">
        <f t="shared" si="11"/>
        <v>1.7271747689502258E-2</v>
      </c>
      <c r="K37" s="109">
        <f t="shared" si="11"/>
        <v>1.7271747689502258E-2</v>
      </c>
      <c r="L37" s="109">
        <f t="shared" si="11"/>
        <v>1.7271747689502258E-2</v>
      </c>
      <c r="M37" s="109">
        <f t="shared" si="11"/>
        <v>1.7271747689502258E-2</v>
      </c>
      <c r="N37" s="109">
        <f t="shared" si="11"/>
        <v>1.7271747689502258E-2</v>
      </c>
      <c r="O37" s="109">
        <f t="shared" si="11"/>
        <v>1.7271747689502258E-2</v>
      </c>
      <c r="P37" s="109">
        <f t="shared" si="11"/>
        <v>1.7271747689502258E-2</v>
      </c>
      <c r="Q37" s="109">
        <f t="shared" si="11"/>
        <v>1.7271747689502258E-2</v>
      </c>
      <c r="R37" s="20"/>
      <c r="S37" s="20" t="s">
        <v>138</v>
      </c>
    </row>
    <row r="38" spans="2:19" ht="14.25" customHeight="1" x14ac:dyDescent="0.3">
      <c r="B38" s="47" t="s">
        <v>12</v>
      </c>
      <c r="F38" s="110">
        <v>0</v>
      </c>
      <c r="G38" s="111">
        <v>2.2762175515645827E-3</v>
      </c>
      <c r="H38" s="97">
        <f>'Financial Statements'!L13-Schedules!$G$38</f>
        <v>2.0858788859153283E-2</v>
      </c>
      <c r="I38" s="97">
        <f>H38-$G$38</f>
        <v>1.85825713075887E-2</v>
      </c>
      <c r="J38" s="97">
        <f t="shared" ref="J38:Q38" si="12">I38</f>
        <v>1.85825713075887E-2</v>
      </c>
      <c r="K38" s="97">
        <f t="shared" si="12"/>
        <v>1.85825713075887E-2</v>
      </c>
      <c r="L38" s="97">
        <f t="shared" si="12"/>
        <v>1.85825713075887E-2</v>
      </c>
      <c r="M38" s="97">
        <f t="shared" si="12"/>
        <v>1.85825713075887E-2</v>
      </c>
      <c r="N38" s="97">
        <f t="shared" si="12"/>
        <v>1.85825713075887E-2</v>
      </c>
      <c r="O38" s="97">
        <f t="shared" si="12"/>
        <v>1.85825713075887E-2</v>
      </c>
      <c r="P38" s="97">
        <f t="shared" si="12"/>
        <v>1.85825713075887E-2</v>
      </c>
      <c r="Q38" s="97">
        <f t="shared" si="12"/>
        <v>1.85825713075887E-2</v>
      </c>
      <c r="R38" s="20"/>
      <c r="S38" s="20" t="s">
        <v>136</v>
      </c>
    </row>
    <row r="39" spans="2:19" ht="14.25" customHeight="1" x14ac:dyDescent="0.3">
      <c r="B39" s="47" t="s">
        <v>130</v>
      </c>
      <c r="F39" s="110">
        <v>0</v>
      </c>
      <c r="G39" s="111">
        <v>0</v>
      </c>
      <c r="H39" s="109">
        <f>'Financial Statements'!$O$13</f>
        <v>1.9270448652028267E-2</v>
      </c>
      <c r="I39" s="109">
        <f>'Financial Statements'!$O$13</f>
        <v>1.9270448652028267E-2</v>
      </c>
      <c r="J39" s="109">
        <f>'Financial Statements'!$O$13</f>
        <v>1.9270448652028267E-2</v>
      </c>
      <c r="K39" s="109">
        <f>'Financial Statements'!$O$13</f>
        <v>1.9270448652028267E-2</v>
      </c>
      <c r="L39" s="109">
        <f>'Financial Statements'!$O$13</f>
        <v>1.9270448652028267E-2</v>
      </c>
      <c r="M39" s="109">
        <f>'Financial Statements'!$O$13</f>
        <v>1.9270448652028267E-2</v>
      </c>
      <c r="N39" s="109">
        <f>'Financial Statements'!$O$13</f>
        <v>1.9270448652028267E-2</v>
      </c>
      <c r="O39" s="109">
        <f>'Financial Statements'!$O$13</f>
        <v>1.9270448652028267E-2</v>
      </c>
      <c r="P39" s="109">
        <f>'Financial Statements'!$O$13</f>
        <v>1.9270448652028267E-2</v>
      </c>
      <c r="Q39" s="109">
        <f>'Financial Statements'!$O$13</f>
        <v>1.9270448652028267E-2</v>
      </c>
      <c r="R39" s="20"/>
      <c r="S39" s="20" t="s">
        <v>137</v>
      </c>
    </row>
    <row r="40" spans="2:19" ht="14.25" customHeight="1" x14ac:dyDescent="0.3">
      <c r="B40" s="47"/>
      <c r="F40" s="110"/>
      <c r="G40" s="111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20"/>
      <c r="S40" s="20"/>
    </row>
    <row r="41" spans="2:19" ht="14.25" customHeight="1" x14ac:dyDescent="0.3">
      <c r="B41" s="52" t="s">
        <v>124</v>
      </c>
      <c r="F41" s="95"/>
      <c r="G41" s="96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20"/>
      <c r="S41" s="20"/>
    </row>
    <row r="42" spans="2:19" ht="14.25" customHeight="1" x14ac:dyDescent="0.3">
      <c r="B42" s="47" t="s">
        <v>127</v>
      </c>
      <c r="F42" s="110">
        <v>0</v>
      </c>
      <c r="G42" s="111">
        <v>0</v>
      </c>
      <c r="H42" s="97">
        <f>'Financial Statements'!$N$14</f>
        <v>0.14341834152045116</v>
      </c>
      <c r="I42" s="97">
        <f t="shared" ref="I42:Q42" si="13">H42</f>
        <v>0.14341834152045116</v>
      </c>
      <c r="J42" s="97">
        <f t="shared" si="13"/>
        <v>0.14341834152045116</v>
      </c>
      <c r="K42" s="97">
        <f t="shared" si="13"/>
        <v>0.14341834152045116</v>
      </c>
      <c r="L42" s="97">
        <f t="shared" si="13"/>
        <v>0.14341834152045116</v>
      </c>
      <c r="M42" s="97">
        <f t="shared" si="13"/>
        <v>0.14341834152045116</v>
      </c>
      <c r="N42" s="97">
        <f t="shared" si="13"/>
        <v>0.14341834152045116</v>
      </c>
      <c r="O42" s="97">
        <f t="shared" si="13"/>
        <v>0.14341834152045116</v>
      </c>
      <c r="P42" s="97">
        <f t="shared" si="13"/>
        <v>0.14341834152045116</v>
      </c>
      <c r="Q42" s="97">
        <f t="shared" si="13"/>
        <v>0.14341834152045116</v>
      </c>
      <c r="R42" s="20"/>
      <c r="S42" s="20" t="s">
        <v>138</v>
      </c>
    </row>
    <row r="43" spans="2:19" ht="14.25" customHeight="1" x14ac:dyDescent="0.3">
      <c r="B43" s="47" t="s">
        <v>12</v>
      </c>
      <c r="F43" s="110">
        <v>0</v>
      </c>
      <c r="G43" s="111">
        <v>6.8784590472478063E-3</v>
      </c>
      <c r="H43" s="97">
        <f>'Financial Statements'!L14-Schedules!$G$43</f>
        <v>0.15713280202558921</v>
      </c>
      <c r="I43" s="97">
        <f>H43-$G$43</f>
        <v>0.15025434297834139</v>
      </c>
      <c r="J43" s="97">
        <f t="shared" ref="J43:Q43" si="14">I43</f>
        <v>0.15025434297834139</v>
      </c>
      <c r="K43" s="97">
        <f t="shared" si="14"/>
        <v>0.15025434297834139</v>
      </c>
      <c r="L43" s="97">
        <f t="shared" si="14"/>
        <v>0.15025434297834139</v>
      </c>
      <c r="M43" s="97">
        <f t="shared" si="14"/>
        <v>0.15025434297834139</v>
      </c>
      <c r="N43" s="97">
        <f t="shared" si="14"/>
        <v>0.15025434297834139</v>
      </c>
      <c r="O43" s="97">
        <f t="shared" si="14"/>
        <v>0.15025434297834139</v>
      </c>
      <c r="P43" s="97">
        <f t="shared" si="14"/>
        <v>0.15025434297834139</v>
      </c>
      <c r="Q43" s="97">
        <f t="shared" si="14"/>
        <v>0.15025434297834139</v>
      </c>
      <c r="R43" s="20"/>
      <c r="S43" s="20" t="s">
        <v>136</v>
      </c>
    </row>
    <row r="44" spans="2:19" ht="14.25" customHeight="1" x14ac:dyDescent="0.3">
      <c r="B44" s="47" t="s">
        <v>130</v>
      </c>
      <c r="F44" s="110">
        <v>0</v>
      </c>
      <c r="G44" s="111">
        <v>0</v>
      </c>
      <c r="H44" s="97">
        <f>'Financial Statements'!O14</f>
        <v>0.15299671773897089</v>
      </c>
      <c r="I44" s="97">
        <f t="shared" ref="I44:Q44" si="15">H44</f>
        <v>0.15299671773897089</v>
      </c>
      <c r="J44" s="97">
        <f t="shared" si="15"/>
        <v>0.15299671773897089</v>
      </c>
      <c r="K44" s="97">
        <f t="shared" si="15"/>
        <v>0.15299671773897089</v>
      </c>
      <c r="L44" s="97">
        <f t="shared" si="15"/>
        <v>0.15299671773897089</v>
      </c>
      <c r="M44" s="97">
        <f t="shared" si="15"/>
        <v>0.15299671773897089</v>
      </c>
      <c r="N44" s="97">
        <f t="shared" si="15"/>
        <v>0.15299671773897089</v>
      </c>
      <c r="O44" s="97">
        <f t="shared" si="15"/>
        <v>0.15299671773897089</v>
      </c>
      <c r="P44" s="97">
        <f t="shared" si="15"/>
        <v>0.15299671773897089</v>
      </c>
      <c r="Q44" s="97">
        <f t="shared" si="15"/>
        <v>0.15299671773897089</v>
      </c>
      <c r="R44" s="20"/>
      <c r="S44" s="20" t="s">
        <v>137</v>
      </c>
    </row>
    <row r="45" spans="2:19" ht="14.25" customHeight="1" x14ac:dyDescent="0.3">
      <c r="B45" s="47"/>
      <c r="F45" s="110"/>
      <c r="G45" s="111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20"/>
      <c r="S45" s="20"/>
    </row>
    <row r="46" spans="2:19" ht="14.25" customHeight="1" x14ac:dyDescent="0.3">
      <c r="B46" s="52" t="s">
        <v>125</v>
      </c>
      <c r="F46" s="95"/>
      <c r="G46" s="96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20"/>
      <c r="S46" s="20"/>
    </row>
    <row r="47" spans="2:19" ht="14.25" customHeight="1" x14ac:dyDescent="0.3">
      <c r="B47" s="47" t="s">
        <v>127</v>
      </c>
      <c r="F47" s="110">
        <v>0</v>
      </c>
      <c r="G47" s="111">
        <v>0</v>
      </c>
      <c r="H47" s="97">
        <f>'Financial Statements'!$N$15</f>
        <v>5.7006092254134028E-2</v>
      </c>
      <c r="I47" s="97">
        <f t="shared" ref="I47:Q47" si="16">H47</f>
        <v>5.7006092254134028E-2</v>
      </c>
      <c r="J47" s="97">
        <f t="shared" si="16"/>
        <v>5.7006092254134028E-2</v>
      </c>
      <c r="K47" s="97">
        <f t="shared" si="16"/>
        <v>5.7006092254134028E-2</v>
      </c>
      <c r="L47" s="97">
        <f t="shared" si="16"/>
        <v>5.7006092254134028E-2</v>
      </c>
      <c r="M47" s="97">
        <f t="shared" si="16"/>
        <v>5.7006092254134028E-2</v>
      </c>
      <c r="N47" s="97">
        <f t="shared" si="16"/>
        <v>5.7006092254134028E-2</v>
      </c>
      <c r="O47" s="97">
        <f t="shared" si="16"/>
        <v>5.7006092254134028E-2</v>
      </c>
      <c r="P47" s="97">
        <f t="shared" si="16"/>
        <v>5.7006092254134028E-2</v>
      </c>
      <c r="Q47" s="97">
        <f t="shared" si="16"/>
        <v>5.7006092254134028E-2</v>
      </c>
      <c r="R47" s="20"/>
      <c r="S47" s="20" t="s">
        <v>138</v>
      </c>
    </row>
    <row r="48" spans="2:19" ht="14.25" customHeight="1" x14ac:dyDescent="0.3">
      <c r="B48" s="47" t="s">
        <v>12</v>
      </c>
      <c r="F48" s="110">
        <v>0</v>
      </c>
      <c r="G48" s="111">
        <v>9.4872413920667684E-3</v>
      </c>
      <c r="H48" s="97">
        <f>'Financial Statements'!L15-Schedules!$G$48</f>
        <v>7.2690573827502741E-2</v>
      </c>
      <c r="I48" s="97">
        <f>H48-$G$48</f>
        <v>6.3203332435435966E-2</v>
      </c>
      <c r="J48" s="97">
        <f t="shared" ref="J48:Q48" si="17">I48</f>
        <v>6.3203332435435966E-2</v>
      </c>
      <c r="K48" s="97">
        <f t="shared" si="17"/>
        <v>6.3203332435435966E-2</v>
      </c>
      <c r="L48" s="97">
        <f t="shared" si="17"/>
        <v>6.3203332435435966E-2</v>
      </c>
      <c r="M48" s="97">
        <f t="shared" si="17"/>
        <v>6.3203332435435966E-2</v>
      </c>
      <c r="N48" s="97">
        <f t="shared" si="17"/>
        <v>6.3203332435435966E-2</v>
      </c>
      <c r="O48" s="97">
        <f t="shared" si="17"/>
        <v>6.3203332435435966E-2</v>
      </c>
      <c r="P48" s="97">
        <f t="shared" si="17"/>
        <v>6.3203332435435966E-2</v>
      </c>
      <c r="Q48" s="97">
        <f t="shared" si="17"/>
        <v>6.3203332435435966E-2</v>
      </c>
      <c r="R48" s="20"/>
      <c r="S48" s="20" t="s">
        <v>136</v>
      </c>
    </row>
    <row r="49" spans="1:27" ht="14.25" customHeight="1" x14ac:dyDescent="0.3">
      <c r="B49" s="47" t="s">
        <v>130</v>
      </c>
      <c r="F49" s="114">
        <v>0</v>
      </c>
      <c r="G49" s="115">
        <v>0</v>
      </c>
      <c r="H49" s="97">
        <f>'Financial Statements'!O15</f>
        <v>6.7015976816607079E-2</v>
      </c>
      <c r="I49" s="97">
        <f t="shared" ref="I49:Q49" si="18">H49</f>
        <v>6.7015976816607079E-2</v>
      </c>
      <c r="J49" s="97">
        <f t="shared" si="18"/>
        <v>6.7015976816607079E-2</v>
      </c>
      <c r="K49" s="97">
        <f t="shared" si="18"/>
        <v>6.7015976816607079E-2</v>
      </c>
      <c r="L49" s="97">
        <f t="shared" si="18"/>
        <v>6.7015976816607079E-2</v>
      </c>
      <c r="M49" s="97">
        <f t="shared" si="18"/>
        <v>6.7015976816607079E-2</v>
      </c>
      <c r="N49" s="97">
        <f t="shared" si="18"/>
        <v>6.7015976816607079E-2</v>
      </c>
      <c r="O49" s="97">
        <f t="shared" si="18"/>
        <v>6.7015976816607079E-2</v>
      </c>
      <c r="P49" s="97">
        <f t="shared" si="18"/>
        <v>6.7015976816607079E-2</v>
      </c>
      <c r="Q49" s="97">
        <f t="shared" si="18"/>
        <v>6.7015976816607079E-2</v>
      </c>
      <c r="R49" s="20"/>
      <c r="S49" s="20" t="s">
        <v>137</v>
      </c>
    </row>
    <row r="50" spans="1:27" ht="14.25" customHeight="1" x14ac:dyDescent="0.3"/>
    <row r="51" spans="1:27" ht="14.25" customHeight="1" x14ac:dyDescent="0.3"/>
    <row r="52" spans="1:27" ht="14.25" customHeight="1" x14ac:dyDescent="0.3">
      <c r="A52" s="7" t="s">
        <v>13</v>
      </c>
      <c r="B52" s="35" t="s">
        <v>139</v>
      </c>
      <c r="C52" s="61"/>
      <c r="D52" s="61"/>
      <c r="E52" s="61"/>
      <c r="F52" s="61"/>
      <c r="G52" s="61"/>
      <c r="H52" s="86"/>
      <c r="I52" s="86"/>
      <c r="J52" s="86"/>
      <c r="K52" s="86"/>
      <c r="L52" s="86"/>
      <c r="M52" s="86"/>
      <c r="N52" s="86"/>
      <c r="O52" s="86"/>
      <c r="P52" s="86"/>
      <c r="Q52" s="86"/>
      <c r="AA52" s="56"/>
    </row>
    <row r="53" spans="1:27" ht="14.25" customHeight="1" x14ac:dyDescent="0.3">
      <c r="B53" s="116" t="str">
        <f>'Forecasted 3 Statements'!C16</f>
        <v xml:space="preserve">Fiscal year  </v>
      </c>
      <c r="C53" s="117">
        <f>'Forecasted 3 Statements'!D16</f>
        <v>2018</v>
      </c>
      <c r="D53" s="117">
        <f>'Forecasted 3 Statements'!E16</f>
        <v>2019</v>
      </c>
      <c r="E53" s="117">
        <f>'Forecasted 3 Statements'!F16</f>
        <v>2020</v>
      </c>
      <c r="F53" s="117">
        <f>'Forecasted 3 Statements'!G16</f>
        <v>2021</v>
      </c>
      <c r="G53" s="118">
        <f>'Forecasted 3 Statements'!H16</f>
        <v>2022</v>
      </c>
      <c r="H53" s="119">
        <f>'Forecasted 3 Statements'!I16</f>
        <v>2023</v>
      </c>
      <c r="I53" s="119">
        <f>'Forecasted 3 Statements'!J16</f>
        <v>2024</v>
      </c>
      <c r="J53" s="119">
        <f>'Forecasted 3 Statements'!K16</f>
        <v>2025</v>
      </c>
      <c r="K53" s="119">
        <f>'Forecasted 3 Statements'!L16</f>
        <v>2026</v>
      </c>
      <c r="L53" s="119">
        <f>'Forecasted 3 Statements'!M16</f>
        <v>2027</v>
      </c>
      <c r="M53" s="119">
        <f>'Forecasted 3 Statements'!N16</f>
        <v>2028</v>
      </c>
      <c r="N53" s="119">
        <f>'Forecasted 3 Statements'!O16</f>
        <v>2029</v>
      </c>
      <c r="O53" s="119">
        <f>'Forecasted 3 Statements'!P16</f>
        <v>2030</v>
      </c>
      <c r="P53" s="119">
        <f>'Forecasted 3 Statements'!Q16</f>
        <v>2031</v>
      </c>
      <c r="Q53" s="119">
        <f>'Forecasted 3 Statements'!R16</f>
        <v>2032</v>
      </c>
      <c r="AA53" s="56"/>
    </row>
    <row r="54" spans="1:27" ht="14.25" customHeight="1" x14ac:dyDescent="0.3">
      <c r="B54" s="13" t="str">
        <f>'Forecasted 3 Statements'!C17</f>
        <v>Fiscal year end date</v>
      </c>
      <c r="C54" s="64">
        <f>'Forecasted 3 Statements'!D17</f>
        <v>43465</v>
      </c>
      <c r="D54" s="64">
        <f>'Forecasted 3 Statements'!E17</f>
        <v>43830</v>
      </c>
      <c r="E54" s="64">
        <f>'Forecasted 3 Statements'!F17</f>
        <v>44196</v>
      </c>
      <c r="F54" s="64">
        <f>'Forecasted 3 Statements'!G17</f>
        <v>44561</v>
      </c>
      <c r="G54" s="65">
        <f>'Forecasted 3 Statements'!H17</f>
        <v>44926</v>
      </c>
      <c r="H54" s="63">
        <f>'Forecasted 3 Statements'!I17</f>
        <v>45291</v>
      </c>
      <c r="I54" s="63">
        <f>'Forecasted 3 Statements'!J17</f>
        <v>45657</v>
      </c>
      <c r="J54" s="63">
        <f>'Forecasted 3 Statements'!K17</f>
        <v>46022</v>
      </c>
      <c r="K54" s="63">
        <f>'Forecasted 3 Statements'!L17</f>
        <v>46387</v>
      </c>
      <c r="L54" s="63">
        <f>'Forecasted 3 Statements'!M17</f>
        <v>46752</v>
      </c>
      <c r="M54" s="63">
        <f>'Forecasted 3 Statements'!N17</f>
        <v>47118</v>
      </c>
      <c r="N54" s="63">
        <f>'Forecasted 3 Statements'!O17</f>
        <v>47483</v>
      </c>
      <c r="O54" s="63">
        <f>'Forecasted 3 Statements'!P17</f>
        <v>47848</v>
      </c>
      <c r="P54" s="63">
        <f>'Forecasted 3 Statements'!Q17</f>
        <v>48213</v>
      </c>
      <c r="Q54" s="63">
        <f>'Forecasted 3 Statements'!R17</f>
        <v>48579</v>
      </c>
      <c r="AA54" s="56"/>
    </row>
    <row r="55" spans="1:27" ht="14.25" customHeight="1" x14ac:dyDescent="0.3">
      <c r="B55" s="35"/>
      <c r="C55" s="120"/>
      <c r="D55" s="120"/>
      <c r="E55" s="120"/>
      <c r="F55" s="120"/>
      <c r="G55" s="121"/>
      <c r="H55" s="36"/>
      <c r="I55" s="82"/>
      <c r="J55" s="82"/>
      <c r="K55" s="82"/>
      <c r="L55" s="82"/>
      <c r="M55" s="82"/>
      <c r="N55" s="82"/>
      <c r="O55" s="82"/>
      <c r="P55" s="82"/>
      <c r="Q55" s="82"/>
      <c r="AA55" s="56"/>
    </row>
    <row r="56" spans="1:27" ht="14.25" customHeight="1" x14ac:dyDescent="0.3">
      <c r="B56" s="47" t="s">
        <v>109</v>
      </c>
      <c r="C56" s="122"/>
      <c r="D56" s="48">
        <f t="shared" ref="D56:Q56" si="19">C59</f>
        <v>61797</v>
      </c>
      <c r="E56" s="48">
        <f t="shared" si="19"/>
        <v>72705</v>
      </c>
      <c r="F56" s="48">
        <f t="shared" si="19"/>
        <v>113114</v>
      </c>
      <c r="G56" s="49">
        <f t="shared" si="19"/>
        <v>160281</v>
      </c>
      <c r="H56" s="51">
        <f t="shared" si="19"/>
        <v>186715</v>
      </c>
      <c r="I56" s="51">
        <f t="shared" ca="1" si="19"/>
        <v>185875.31108379923</v>
      </c>
      <c r="J56" s="51">
        <f t="shared" ca="1" si="19"/>
        <v>238320.88418625254</v>
      </c>
      <c r="K56" s="51">
        <f t="shared" ca="1" si="19"/>
        <v>327985.37666379608</v>
      </c>
      <c r="L56" s="51">
        <f t="shared" ca="1" si="19"/>
        <v>435250.92480738874</v>
      </c>
      <c r="M56" s="51">
        <f t="shared" ca="1" si="19"/>
        <v>556186.73298620514</v>
      </c>
      <c r="N56" s="51">
        <f t="shared" ca="1" si="19"/>
        <v>683365.75990191428</v>
      </c>
      <c r="O56" s="51">
        <f t="shared" ca="1" si="19"/>
        <v>806010.67394701682</v>
      </c>
      <c r="P56" s="51">
        <f t="shared" ca="1" si="19"/>
        <v>911018.73618232319</v>
      </c>
      <c r="Q56" s="51">
        <f t="shared" ca="1" si="19"/>
        <v>984893.80591170769</v>
      </c>
      <c r="S56" s="20" t="s">
        <v>140</v>
      </c>
      <c r="AA56" s="56"/>
    </row>
    <row r="57" spans="1:27" ht="14.25" customHeight="1" x14ac:dyDescent="0.3">
      <c r="B57" s="47" t="s">
        <v>141</v>
      </c>
      <c r="C57" s="48"/>
      <c r="D57" s="48">
        <f t="shared" ref="D57:Q57" si="20">D59-D56+D58</f>
        <v>23910</v>
      </c>
      <c r="E57" s="48">
        <f t="shared" si="20"/>
        <v>53868</v>
      </c>
      <c r="F57" s="48">
        <f t="shared" si="20"/>
        <v>65252</v>
      </c>
      <c r="G57" s="49">
        <f t="shared" si="20"/>
        <v>44930</v>
      </c>
      <c r="H57" s="123">
        <f t="shared" ca="1" si="20"/>
        <v>26038.168020458961</v>
      </c>
      <c r="I57" s="123">
        <f t="shared" ca="1" si="20"/>
        <v>83046.166597165851</v>
      </c>
      <c r="J57" s="123">
        <f t="shared" ca="1" si="20"/>
        <v>130516.59788304062</v>
      </c>
      <c r="K57" s="123">
        <f t="shared" ca="1" si="20"/>
        <v>162323.75956121046</v>
      </c>
      <c r="L57" s="123">
        <f t="shared" ca="1" si="20"/>
        <v>192455.97049940849</v>
      </c>
      <c r="M57" s="123">
        <f t="shared" ca="1" si="20"/>
        <v>216597.65530788328</v>
      </c>
      <c r="N57" s="123">
        <f t="shared" ca="1" si="20"/>
        <v>230085.29969920134</v>
      </c>
      <c r="O57" s="123">
        <f t="shared" ca="1" si="20"/>
        <v>228870.8398455219</v>
      </c>
      <c r="P57" s="123">
        <f t="shared" ca="1" si="20"/>
        <v>210642.08850288467</v>
      </c>
      <c r="Q57" s="123">
        <f t="shared" ca="1" si="20"/>
        <v>175780.75297288611</v>
      </c>
      <c r="S57" s="20" t="s">
        <v>142</v>
      </c>
      <c r="AA57" s="56"/>
    </row>
    <row r="58" spans="1:27" ht="14.25" customHeight="1" x14ac:dyDescent="0.3">
      <c r="B58" s="124" t="s">
        <v>143</v>
      </c>
      <c r="C58" s="125"/>
      <c r="D58" s="126">
        <v>13002</v>
      </c>
      <c r="E58" s="126">
        <v>13459</v>
      </c>
      <c r="F58" s="126">
        <v>18085</v>
      </c>
      <c r="G58" s="127">
        <v>18496</v>
      </c>
      <c r="H58" s="128">
        <f ca="1">H61*AVERAGE('Forecasted 3 Statements'!H63:I63)</f>
        <v>26877.856936659733</v>
      </c>
      <c r="I58" s="128">
        <f ca="1">I61*AVERAGE('Forecasted 3 Statements'!I63:J63)</f>
        <v>30600.593494712539</v>
      </c>
      <c r="J58" s="128">
        <f ca="1">J61*AVERAGE('Forecasted 3 Statements'!J63:K63)</f>
        <v>40852.105405497088</v>
      </c>
      <c r="K58" s="128">
        <f ca="1">K61*AVERAGE('Forecasted 3 Statements'!K63:L63)</f>
        <v>55058.211417617807</v>
      </c>
      <c r="L58" s="128">
        <f ca="1">L61*AVERAGE('Forecasted 3 Statements'!L63:M63)</f>
        <v>71520.162320592091</v>
      </c>
      <c r="M58" s="128">
        <f ca="1">M61*AVERAGE('Forecasted 3 Statements'!M63:N63)</f>
        <v>89418.628392174156</v>
      </c>
      <c r="N58" s="128">
        <f ca="1">N61*AVERAGE('Forecasted 3 Statements'!N63:O63)</f>
        <v>107440.38565409879</v>
      </c>
      <c r="O58" s="128">
        <f ca="1">O61*AVERAGE('Forecasted 3 Statements'!O63:P63)</f>
        <v>123862.77761021553</v>
      </c>
      <c r="P58" s="128">
        <f ca="1">P61*AVERAGE('Forecasted 3 Statements'!P63:Q63)</f>
        <v>136767.01877350017</v>
      </c>
      <c r="Q58" s="128">
        <f ca="1">Q61*AVERAGE('Forecasted 3 Statements'!Q63:R63)</f>
        <v>144362.64056430259</v>
      </c>
      <c r="S58" s="20" t="s">
        <v>144</v>
      </c>
      <c r="AA58" s="56"/>
    </row>
    <row r="59" spans="1:27" ht="14.25" customHeight="1" x14ac:dyDescent="0.3">
      <c r="B59" s="52" t="s">
        <v>110</v>
      </c>
      <c r="C59" s="129">
        <f>'Forecasted 3 Statements'!D63</f>
        <v>61797</v>
      </c>
      <c r="D59" s="129">
        <f>'Forecasted 3 Statements'!E63</f>
        <v>72705</v>
      </c>
      <c r="E59" s="129">
        <f>'Forecasted 3 Statements'!F63</f>
        <v>113114</v>
      </c>
      <c r="F59" s="129">
        <f>'Forecasted 3 Statements'!G63</f>
        <v>160281</v>
      </c>
      <c r="G59" s="130">
        <f>'Forecasted 3 Statements'!H63</f>
        <v>186715</v>
      </c>
      <c r="H59" s="131">
        <f ca="1">'Forecasted 3 Statements'!I63</f>
        <v>185875.31108379923</v>
      </c>
      <c r="I59" s="131">
        <f ca="1">'Forecasted 3 Statements'!J63</f>
        <v>238320.88418625254</v>
      </c>
      <c r="J59" s="131">
        <f ca="1">'Forecasted 3 Statements'!K63</f>
        <v>327985.37666379608</v>
      </c>
      <c r="K59" s="131">
        <f ca="1">'Forecasted 3 Statements'!L63</f>
        <v>435250.92480738874</v>
      </c>
      <c r="L59" s="131">
        <f ca="1">'Forecasted 3 Statements'!M63</f>
        <v>556186.73298620514</v>
      </c>
      <c r="M59" s="131">
        <f ca="1">'Forecasted 3 Statements'!N63</f>
        <v>683365.75990191428</v>
      </c>
      <c r="N59" s="131">
        <f ca="1">'Forecasted 3 Statements'!O63</f>
        <v>806010.67394701682</v>
      </c>
      <c r="O59" s="131">
        <f ca="1">'Forecasted 3 Statements'!P63</f>
        <v>911018.73618232319</v>
      </c>
      <c r="P59" s="131">
        <f ca="1">'Forecasted 3 Statements'!Q63</f>
        <v>984893.80591170769</v>
      </c>
      <c r="Q59" s="131">
        <f ca="1">'Forecasted 3 Statements'!R63</f>
        <v>1016311.9183202912</v>
      </c>
      <c r="S59" s="20" t="s">
        <v>145</v>
      </c>
      <c r="AA59" s="56"/>
    </row>
    <row r="60" spans="1:27" ht="14.25" customHeight="1" x14ac:dyDescent="0.3">
      <c r="B60" s="47"/>
      <c r="G60" s="56"/>
      <c r="H60" s="58"/>
      <c r="I60" s="58"/>
      <c r="J60" s="58"/>
      <c r="K60" s="58"/>
      <c r="L60" s="58"/>
      <c r="M60" s="58"/>
      <c r="N60" s="58"/>
      <c r="O60" s="58"/>
      <c r="P60" s="58"/>
      <c r="Q60" s="58"/>
      <c r="S60" s="132"/>
      <c r="AA60" s="56"/>
    </row>
    <row r="61" spans="1:27" ht="14.25" customHeight="1" x14ac:dyDescent="0.3">
      <c r="B61" s="47" t="s">
        <v>146</v>
      </c>
      <c r="C61" s="113"/>
      <c r="D61" s="113">
        <f t="shared" ref="D61:G61" si="21">D58/((C59+D59)/2)</f>
        <v>0.19333541508676452</v>
      </c>
      <c r="E61" s="113">
        <f t="shared" si="21"/>
        <v>0.1448613973813227</v>
      </c>
      <c r="F61" s="113">
        <f t="shared" si="21"/>
        <v>0.13229942025274785</v>
      </c>
      <c r="G61" s="133">
        <f t="shared" si="21"/>
        <v>0.10660641621229063</v>
      </c>
      <c r="H61" s="134">
        <f>AVERAGE(D61:G61)</f>
        <v>0.14427566223328142</v>
      </c>
      <c r="I61" s="134">
        <f t="shared" ref="I61:Q61" si="22">H61</f>
        <v>0.14427566223328142</v>
      </c>
      <c r="J61" s="134">
        <f t="shared" si="22"/>
        <v>0.14427566223328142</v>
      </c>
      <c r="K61" s="134">
        <f t="shared" si="22"/>
        <v>0.14427566223328142</v>
      </c>
      <c r="L61" s="134">
        <f t="shared" si="22"/>
        <v>0.14427566223328142</v>
      </c>
      <c r="M61" s="134">
        <f t="shared" si="22"/>
        <v>0.14427566223328142</v>
      </c>
      <c r="N61" s="134">
        <f t="shared" si="22"/>
        <v>0.14427566223328142</v>
      </c>
      <c r="O61" s="134">
        <f t="shared" si="22"/>
        <v>0.14427566223328142</v>
      </c>
      <c r="P61" s="134">
        <f t="shared" si="22"/>
        <v>0.14427566223328142</v>
      </c>
      <c r="Q61" s="134">
        <f t="shared" si="22"/>
        <v>0.14427566223328142</v>
      </c>
      <c r="S61" s="20" t="s">
        <v>147</v>
      </c>
      <c r="U61" s="135"/>
      <c r="V61" s="135"/>
      <c r="W61" s="135"/>
      <c r="AA61" s="56"/>
    </row>
    <row r="62" spans="1:27" ht="14.25" customHeight="1" x14ac:dyDescent="0.3">
      <c r="B62" s="47"/>
      <c r="C62" s="113"/>
      <c r="D62" s="113"/>
      <c r="E62" s="113"/>
      <c r="F62" s="113"/>
      <c r="G62" s="133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S62" s="20"/>
      <c r="U62" s="135"/>
      <c r="V62" s="135"/>
      <c r="W62" s="135"/>
      <c r="AA62" s="56"/>
    </row>
    <row r="63" spans="1:27" ht="14.25" customHeight="1" x14ac:dyDescent="0.3">
      <c r="B63" s="47"/>
      <c r="C63" s="80"/>
      <c r="D63" s="80"/>
      <c r="E63" s="80"/>
      <c r="F63" s="80"/>
      <c r="G63" s="81"/>
      <c r="H63" s="51"/>
      <c r="I63" s="51"/>
      <c r="J63" s="51"/>
      <c r="K63" s="51"/>
      <c r="L63" s="51"/>
      <c r="M63" s="51"/>
      <c r="N63" s="51"/>
      <c r="O63" s="51"/>
      <c r="P63" s="51"/>
      <c r="Q63" s="51"/>
      <c r="S63" s="20"/>
      <c r="AA63" s="56"/>
    </row>
    <row r="64" spans="1:27" ht="14.25" customHeight="1" x14ac:dyDescent="0.3">
      <c r="B64" s="137" t="s">
        <v>148</v>
      </c>
      <c r="C64" s="138"/>
      <c r="D64" s="138"/>
      <c r="E64" s="138"/>
      <c r="F64" s="138"/>
      <c r="G64" s="139"/>
      <c r="H64" s="138"/>
      <c r="I64" s="138"/>
      <c r="J64" s="138"/>
      <c r="K64" s="138"/>
      <c r="L64" s="138"/>
      <c r="M64" s="138"/>
      <c r="N64" s="138"/>
      <c r="O64" s="140"/>
      <c r="P64" s="140"/>
      <c r="Q64" s="140"/>
      <c r="S64" s="20"/>
      <c r="AA64" s="56"/>
    </row>
    <row r="65" spans="1:27" ht="14.25" customHeight="1" x14ac:dyDescent="0.3">
      <c r="B65" s="141" t="s">
        <v>149</v>
      </c>
      <c r="C65" s="142"/>
      <c r="D65" s="142">
        <f t="shared" ref="D65:G65" si="23">D67-D58</f>
        <v>8787</v>
      </c>
      <c r="E65" s="142">
        <f t="shared" si="23"/>
        <v>11721</v>
      </c>
      <c r="F65" s="142">
        <f t="shared" si="23"/>
        <v>16348</v>
      </c>
      <c r="G65" s="143">
        <f t="shared" si="23"/>
        <v>23425</v>
      </c>
      <c r="H65" s="142">
        <f ca="1">H66*'Forecasted 3 Statements'!I23</f>
        <v>27830.654152417148</v>
      </c>
      <c r="I65" s="142">
        <f ca="1">I66*'Forecasted 3 Statements'!J23</f>
        <v>35683.201100847822</v>
      </c>
      <c r="J65" s="142">
        <f ca="1">J66*'Forecasted 3 Statements'!K23</f>
        <v>49108.445504444266</v>
      </c>
      <c r="K65" s="142">
        <f ca="1">K66*'Forecasted 3 Statements'!L23</f>
        <v>65169.052776315417</v>
      </c>
      <c r="L65" s="142">
        <f ca="1">L66*'Forecasted 3 Statements'!M23</f>
        <v>83276.474533636982</v>
      </c>
      <c r="M65" s="142">
        <f ca="1">M66*'Forecasted 3 Statements'!N23</f>
        <v>102318.67811029343</v>
      </c>
      <c r="N65" s="142">
        <f ca="1">N66*'Forecasted 3 Statements'!O23</f>
        <v>120682.00009447748</v>
      </c>
      <c r="O65" s="142">
        <f ca="1">O66*'Forecasted 3 Statements'!P23</f>
        <v>136404.59954163464</v>
      </c>
      <c r="P65" s="142">
        <f ca="1">P66*'Forecasted 3 Statements'!Q23</f>
        <v>147465.73242763308</v>
      </c>
      <c r="Q65" s="142">
        <f ca="1">Q66*'Forecasted 3 Statements'!R23</f>
        <v>152169.88929207457</v>
      </c>
      <c r="S65" s="20" t="s">
        <v>150</v>
      </c>
      <c r="AA65" s="56"/>
    </row>
    <row r="66" spans="1:27" ht="14.25" customHeight="1" x14ac:dyDescent="0.3">
      <c r="B66" s="47" t="s">
        <v>151</v>
      </c>
      <c r="C66" s="144"/>
      <c r="D66" s="144">
        <f>D65/'Forecasted 3 Statements'!E23</f>
        <v>3.1323746444129157E-2</v>
      </c>
      <c r="E66" s="144">
        <f>E65/'Forecasted 3 Statements'!F23</f>
        <v>3.0360251150068383E-2</v>
      </c>
      <c r="F66" s="144">
        <f>F65/'Forecasted 3 Statements'!G23</f>
        <v>3.4796156842378606E-2</v>
      </c>
      <c r="G66" s="145">
        <f>G65/'Forecasted 3 Statements'!H23</f>
        <v>4.5575437319911358E-2</v>
      </c>
      <c r="H66" s="146">
        <f t="shared" ref="H66:Q66" si="24">$G$66</f>
        <v>4.5575437319911358E-2</v>
      </c>
      <c r="I66" s="146">
        <f t="shared" si="24"/>
        <v>4.5575437319911358E-2</v>
      </c>
      <c r="J66" s="146">
        <f t="shared" si="24"/>
        <v>4.5575437319911358E-2</v>
      </c>
      <c r="K66" s="146">
        <f t="shared" si="24"/>
        <v>4.5575437319911358E-2</v>
      </c>
      <c r="L66" s="146">
        <f t="shared" si="24"/>
        <v>4.5575437319911358E-2</v>
      </c>
      <c r="M66" s="146">
        <f t="shared" si="24"/>
        <v>4.5575437319911358E-2</v>
      </c>
      <c r="N66" s="146">
        <f t="shared" si="24"/>
        <v>4.5575437319911358E-2</v>
      </c>
      <c r="O66" s="146">
        <f t="shared" si="24"/>
        <v>4.5575437319911358E-2</v>
      </c>
      <c r="P66" s="146">
        <f t="shared" si="24"/>
        <v>4.5575437319911358E-2</v>
      </c>
      <c r="Q66" s="146">
        <f t="shared" si="24"/>
        <v>4.5575437319911358E-2</v>
      </c>
      <c r="S66" s="20" t="s">
        <v>152</v>
      </c>
      <c r="AA66" s="56"/>
    </row>
    <row r="67" spans="1:27" ht="14.25" customHeight="1" x14ac:dyDescent="0.3">
      <c r="B67" s="35" t="s">
        <v>153</v>
      </c>
      <c r="C67" s="147"/>
      <c r="D67" s="147">
        <f>'Forecasted 3 Statements'!E49</f>
        <v>21789</v>
      </c>
      <c r="E67" s="147">
        <f>'Forecasted 3 Statements'!F49</f>
        <v>25180</v>
      </c>
      <c r="F67" s="147">
        <f>'Forecasted 3 Statements'!G49</f>
        <v>34433</v>
      </c>
      <c r="G67" s="148">
        <f>'Forecasted 3 Statements'!H49</f>
        <v>41921</v>
      </c>
      <c r="H67" s="147">
        <f t="shared" ref="H67:Q67" ca="1" si="25">H58+H65</f>
        <v>54708.511089076885</v>
      </c>
      <c r="I67" s="147">
        <f t="shared" ca="1" si="25"/>
        <v>66283.794595560365</v>
      </c>
      <c r="J67" s="147">
        <f t="shared" ca="1" si="25"/>
        <v>89960.550909941347</v>
      </c>
      <c r="K67" s="147">
        <f t="shared" ca="1" si="25"/>
        <v>120227.26419393322</v>
      </c>
      <c r="L67" s="147">
        <f t="shared" ca="1" si="25"/>
        <v>154796.63685422909</v>
      </c>
      <c r="M67" s="147">
        <f t="shared" ca="1" si="25"/>
        <v>191737.3065024676</v>
      </c>
      <c r="N67" s="147">
        <f t="shared" ca="1" si="25"/>
        <v>228122.38574857626</v>
      </c>
      <c r="O67" s="147">
        <f t="shared" ca="1" si="25"/>
        <v>260267.37715185017</v>
      </c>
      <c r="P67" s="147">
        <f t="shared" ca="1" si="25"/>
        <v>284232.75120113324</v>
      </c>
      <c r="Q67" s="147">
        <f t="shared" ca="1" si="25"/>
        <v>296532.52985637716</v>
      </c>
      <c r="S67" s="20"/>
      <c r="AA67" s="56"/>
    </row>
    <row r="68" spans="1:27" ht="14.25" customHeight="1" x14ac:dyDescent="0.3">
      <c r="G68" s="56"/>
      <c r="O68" s="51"/>
      <c r="P68" s="51"/>
      <c r="Q68" s="51"/>
      <c r="S68" s="20"/>
      <c r="AA68" s="56"/>
    </row>
    <row r="69" spans="1:27" ht="14.25" customHeight="1" x14ac:dyDescent="0.3">
      <c r="B69" s="137" t="s">
        <v>154</v>
      </c>
      <c r="C69" s="138"/>
      <c r="D69" s="138"/>
      <c r="E69" s="138"/>
      <c r="F69" s="138"/>
      <c r="G69" s="139"/>
      <c r="H69" s="138"/>
      <c r="I69" s="138"/>
      <c r="J69" s="138"/>
      <c r="K69" s="138"/>
      <c r="L69" s="138"/>
      <c r="M69" s="138"/>
      <c r="N69" s="138"/>
      <c r="O69" s="140"/>
      <c r="P69" s="140"/>
      <c r="Q69" s="140"/>
      <c r="S69" s="20"/>
      <c r="AA69" s="56"/>
    </row>
    <row r="70" spans="1:27" ht="14.25" customHeight="1" x14ac:dyDescent="0.3">
      <c r="B70" s="47" t="s">
        <v>109</v>
      </c>
      <c r="C70" s="149"/>
      <c r="D70" s="149">
        <f>'Forecasted 3 Statements'!D66</f>
        <v>11202</v>
      </c>
      <c r="E70" s="149">
        <f>'Forecasted 3 Statements'!E66</f>
        <v>16314</v>
      </c>
      <c r="F70" s="149">
        <f>'Forecasted 3 Statements'!F66</f>
        <v>22778</v>
      </c>
      <c r="G70" s="150">
        <f>'Forecasted 3 Statements'!G66</f>
        <v>27235</v>
      </c>
      <c r="H70" s="149">
        <f t="shared" ref="H70:Q70" si="26">G73</f>
        <v>42758</v>
      </c>
      <c r="I70" s="149">
        <f t="shared" ca="1" si="26"/>
        <v>50799.705880429137</v>
      </c>
      <c r="J70" s="149">
        <f t="shared" ca="1" si="26"/>
        <v>65133.076314623322</v>
      </c>
      <c r="K70" s="149">
        <f t="shared" ca="1" si="26"/>
        <v>89638.374082349124</v>
      </c>
      <c r="L70" s="149">
        <f t="shared" ca="1" si="26"/>
        <v>118954.03878803393</v>
      </c>
      <c r="M70" s="149">
        <f t="shared" ca="1" si="26"/>
        <v>152005.78433764144</v>
      </c>
      <c r="N70" s="149">
        <f t="shared" ca="1" si="26"/>
        <v>186763.80100917511</v>
      </c>
      <c r="O70" s="149">
        <f t="shared" ca="1" si="26"/>
        <v>220282.64503904668</v>
      </c>
      <c r="P70" s="149">
        <f t="shared" ca="1" si="26"/>
        <v>248981.33904807747</v>
      </c>
      <c r="Q70" s="149">
        <f t="shared" ca="1" si="26"/>
        <v>269171.38899213384</v>
      </c>
      <c r="S70" s="20" t="s">
        <v>155</v>
      </c>
      <c r="AA70" s="56"/>
    </row>
    <row r="71" spans="1:27" ht="14.25" customHeight="1" x14ac:dyDescent="0.3">
      <c r="B71" s="47" t="s">
        <v>156</v>
      </c>
      <c r="D71" s="149">
        <f t="shared" ref="D71:Q71" si="27">-D65</f>
        <v>-8787</v>
      </c>
      <c r="E71" s="149">
        <f t="shared" si="27"/>
        <v>-11721</v>
      </c>
      <c r="F71" s="149">
        <f t="shared" si="27"/>
        <v>-16348</v>
      </c>
      <c r="G71" s="150">
        <f t="shared" si="27"/>
        <v>-23425</v>
      </c>
      <c r="H71" s="149">
        <f t="shared" ca="1" si="27"/>
        <v>-27830.654152417148</v>
      </c>
      <c r="I71" s="149">
        <f t="shared" ca="1" si="27"/>
        <v>-35683.201100847822</v>
      </c>
      <c r="J71" s="149">
        <f t="shared" ca="1" si="27"/>
        <v>-49108.445504444266</v>
      </c>
      <c r="K71" s="149">
        <f t="shared" ca="1" si="27"/>
        <v>-65169.052776315417</v>
      </c>
      <c r="L71" s="149">
        <f t="shared" ca="1" si="27"/>
        <v>-83276.474533636982</v>
      </c>
      <c r="M71" s="149">
        <f t="shared" ca="1" si="27"/>
        <v>-102318.67811029343</v>
      </c>
      <c r="N71" s="149">
        <f t="shared" ca="1" si="27"/>
        <v>-120682.00009447748</v>
      </c>
      <c r="O71" s="149">
        <f t="shared" ca="1" si="27"/>
        <v>-136404.59954163464</v>
      </c>
      <c r="P71" s="149">
        <f t="shared" ca="1" si="27"/>
        <v>-147465.73242763308</v>
      </c>
      <c r="Q71" s="149">
        <f t="shared" ca="1" si="27"/>
        <v>-152169.88929207457</v>
      </c>
      <c r="S71" s="20" t="s">
        <v>157</v>
      </c>
      <c r="AA71" s="56"/>
    </row>
    <row r="72" spans="1:27" ht="14.25" customHeight="1" x14ac:dyDescent="0.3">
      <c r="B72" s="47" t="s">
        <v>158</v>
      </c>
      <c r="D72" s="149">
        <f t="shared" ref="D72:Q72" si="28">D73-D71-D70</f>
        <v>13899</v>
      </c>
      <c r="E72" s="149">
        <f t="shared" si="28"/>
        <v>18185</v>
      </c>
      <c r="F72" s="149">
        <f t="shared" si="28"/>
        <v>20805</v>
      </c>
      <c r="G72" s="150">
        <f t="shared" si="28"/>
        <v>38948</v>
      </c>
      <c r="H72" s="149">
        <f t="shared" ca="1" si="28"/>
        <v>35872.360032846278</v>
      </c>
      <c r="I72" s="149">
        <f t="shared" ca="1" si="28"/>
        <v>50016.571535042014</v>
      </c>
      <c r="J72" s="149">
        <f t="shared" ca="1" si="28"/>
        <v>73613.743272170075</v>
      </c>
      <c r="K72" s="149">
        <f t="shared" ca="1" si="28"/>
        <v>94484.717482000211</v>
      </c>
      <c r="L72" s="149">
        <f t="shared" ca="1" si="28"/>
        <v>116328.22008324451</v>
      </c>
      <c r="M72" s="149">
        <f t="shared" ca="1" si="28"/>
        <v>137076.6947818271</v>
      </c>
      <c r="N72" s="149">
        <f t="shared" ca="1" si="28"/>
        <v>154200.84412434904</v>
      </c>
      <c r="O72" s="149">
        <f t="shared" ca="1" si="28"/>
        <v>165103.29355066546</v>
      </c>
      <c r="P72" s="149">
        <f t="shared" ca="1" si="28"/>
        <v>167655.78237168945</v>
      </c>
      <c r="Q72" s="149">
        <f t="shared" ca="1" si="28"/>
        <v>160756.45660092362</v>
      </c>
      <c r="S72" s="20" t="s">
        <v>159</v>
      </c>
      <c r="AA72" s="56"/>
    </row>
    <row r="73" spans="1:27" ht="14.25" customHeight="1" x14ac:dyDescent="0.3">
      <c r="B73" s="52" t="s">
        <v>110</v>
      </c>
      <c r="D73" s="151">
        <f>'Forecasted 3 Statements'!E66</f>
        <v>16314</v>
      </c>
      <c r="E73" s="151">
        <f>'Forecasted 3 Statements'!F66</f>
        <v>22778</v>
      </c>
      <c r="F73" s="151">
        <f>'Forecasted 3 Statements'!G66</f>
        <v>27235</v>
      </c>
      <c r="G73" s="152">
        <f>'Forecasted 3 Statements'!H66</f>
        <v>42758</v>
      </c>
      <c r="H73" s="151">
        <f ca="1">'Forecasted 3 Statements'!I66</f>
        <v>50799.705880429137</v>
      </c>
      <c r="I73" s="151">
        <f ca="1">'Forecasted 3 Statements'!J66</f>
        <v>65133.076314623322</v>
      </c>
      <c r="J73" s="151">
        <f ca="1">'Forecasted 3 Statements'!K66</f>
        <v>89638.374082349124</v>
      </c>
      <c r="K73" s="151">
        <f ca="1">'Forecasted 3 Statements'!L66</f>
        <v>118954.03878803393</v>
      </c>
      <c r="L73" s="151">
        <f ca="1">'Forecasted 3 Statements'!M66</f>
        <v>152005.78433764144</v>
      </c>
      <c r="M73" s="151">
        <f ca="1">'Forecasted 3 Statements'!N66</f>
        <v>186763.80100917511</v>
      </c>
      <c r="N73" s="151">
        <f ca="1">'Forecasted 3 Statements'!O66</f>
        <v>220282.64503904668</v>
      </c>
      <c r="O73" s="151">
        <f ca="1">'Forecasted 3 Statements'!P66</f>
        <v>248981.33904807747</v>
      </c>
      <c r="P73" s="151">
        <f ca="1">'Forecasted 3 Statements'!Q66</f>
        <v>269171.38899213384</v>
      </c>
      <c r="Q73" s="151">
        <f ca="1">'Forecasted 3 Statements'!R66</f>
        <v>277757.95630098291</v>
      </c>
      <c r="S73" s="20" t="s">
        <v>160</v>
      </c>
      <c r="AA73" s="56"/>
    </row>
    <row r="74" spans="1:27" ht="14.25" customHeight="1" x14ac:dyDescent="0.3">
      <c r="B74" s="47"/>
      <c r="C74" s="80"/>
      <c r="D74" s="80"/>
      <c r="E74" s="80"/>
      <c r="F74" s="80"/>
      <c r="G74" s="81"/>
      <c r="H74" s="51"/>
      <c r="I74" s="51"/>
      <c r="J74" s="51"/>
      <c r="K74" s="51"/>
      <c r="L74" s="51"/>
      <c r="M74" s="51"/>
      <c r="N74" s="51"/>
      <c r="O74" s="51"/>
      <c r="P74" s="51"/>
      <c r="Q74" s="51"/>
      <c r="S74" s="20"/>
      <c r="AA74" s="56"/>
    </row>
    <row r="75" spans="1:27" ht="14.25" customHeight="1" x14ac:dyDescent="0.3">
      <c r="B75" s="47"/>
      <c r="D75" s="146"/>
      <c r="E75" s="146"/>
      <c r="F75" s="146"/>
      <c r="G75" s="153"/>
      <c r="H75" s="51"/>
      <c r="I75" s="51"/>
      <c r="J75" s="51"/>
      <c r="K75" s="51"/>
      <c r="L75" s="51"/>
      <c r="M75" s="51"/>
      <c r="N75" s="51"/>
      <c r="O75" s="51"/>
      <c r="P75" s="51"/>
      <c r="Q75" s="51"/>
      <c r="S75" s="20"/>
      <c r="AA75" s="56"/>
    </row>
    <row r="76" spans="1:27" ht="14.25" customHeight="1" x14ac:dyDescent="0.3">
      <c r="A76" s="7" t="s">
        <v>13</v>
      </c>
      <c r="B76" s="154" t="s">
        <v>161</v>
      </c>
      <c r="C76" s="155"/>
      <c r="D76" s="155"/>
      <c r="E76" s="155"/>
      <c r="F76" s="155"/>
      <c r="G76" s="156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S76" s="20"/>
      <c r="AA76" s="56"/>
    </row>
    <row r="77" spans="1:27" ht="14.25" customHeight="1" x14ac:dyDescent="0.3">
      <c r="B77" s="47" t="s">
        <v>109</v>
      </c>
      <c r="C77" s="84">
        <v>8636</v>
      </c>
      <c r="D77" s="84">
        <f t="shared" ref="D77:Q77" si="29">C81</f>
        <v>19625</v>
      </c>
      <c r="E77" s="84">
        <f t="shared" si="29"/>
        <v>31220</v>
      </c>
      <c r="F77" s="84">
        <f t="shared" si="29"/>
        <v>52551</v>
      </c>
      <c r="G77" s="158">
        <f t="shared" si="29"/>
        <v>85915</v>
      </c>
      <c r="H77" s="51">
        <f t="shared" si="29"/>
        <v>83193</v>
      </c>
      <c r="I77" s="51">
        <f t="shared" ca="1" si="29"/>
        <v>123200.76429895003</v>
      </c>
      <c r="J77" s="51">
        <f t="shared" ca="1" si="29"/>
        <v>174513.99954524345</v>
      </c>
      <c r="K77" s="51">
        <f t="shared" ca="1" si="29"/>
        <v>245014.35661308916</v>
      </c>
      <c r="L77" s="51">
        <f t="shared" ca="1" si="29"/>
        <v>338292.32652006723</v>
      </c>
      <c r="M77" s="51">
        <f t="shared" ca="1" si="29"/>
        <v>457160.66044885258</v>
      </c>
      <c r="N77" s="51">
        <f t="shared" ca="1" si="29"/>
        <v>603033.46410820936</v>
      </c>
      <c r="O77" s="51">
        <f t="shared" ca="1" si="29"/>
        <v>774891.9909868571</v>
      </c>
      <c r="P77" s="51">
        <f t="shared" ca="1" si="29"/>
        <v>968926.40869159601</v>
      </c>
      <c r="Q77" s="51">
        <f t="shared" ca="1" si="29"/>
        <v>1178462.6190852423</v>
      </c>
      <c r="S77" s="20"/>
      <c r="AA77" s="56"/>
    </row>
    <row r="78" spans="1:27" ht="14.25" customHeight="1" x14ac:dyDescent="0.3">
      <c r="B78" s="47" t="s">
        <v>162</v>
      </c>
      <c r="C78" s="68">
        <f>'Forecasted 3 Statements'!D46</f>
        <v>10073</v>
      </c>
      <c r="D78" s="68">
        <f>'Forecasted 3 Statements'!E46</f>
        <v>11588</v>
      </c>
      <c r="E78" s="68">
        <f>'Forecasted 3 Statements'!F46</f>
        <v>21331</v>
      </c>
      <c r="F78" s="68">
        <f>'Forecasted 3 Statements'!G46</f>
        <v>33364</v>
      </c>
      <c r="G78" s="69">
        <f>'Forecasted 3 Statements'!H46</f>
        <v>-2722</v>
      </c>
      <c r="H78" s="51">
        <f ca="1">'Forecasted 3 Statements'!I46</f>
        <v>40007.764298950024</v>
      </c>
      <c r="I78" s="51">
        <f ca="1">'Forecasted 3 Statements'!J46</f>
        <v>51313.235246293436</v>
      </c>
      <c r="J78" s="51">
        <f ca="1">'Forecasted 3 Statements'!K46</f>
        <v>70500.357067845704</v>
      </c>
      <c r="K78" s="51">
        <f ca="1">'Forecasted 3 Statements'!L46</f>
        <v>93277.969906978062</v>
      </c>
      <c r="L78" s="51">
        <f ca="1">'Forecasted 3 Statements'!M46</f>
        <v>118868.33392878537</v>
      </c>
      <c r="M78" s="51">
        <f ca="1">'Forecasted 3 Statements'!N46</f>
        <v>145872.80365935675</v>
      </c>
      <c r="N78" s="51">
        <f ca="1">'Forecasted 3 Statements'!O46</f>
        <v>171858.52687864771</v>
      </c>
      <c r="O78" s="51">
        <f ca="1">'Forecasted 3 Statements'!P46</f>
        <v>194034.41770473894</v>
      </c>
      <c r="P78" s="51">
        <f ca="1">'Forecasted 3 Statements'!Q46</f>
        <v>209536.21039364627</v>
      </c>
      <c r="Q78" s="51">
        <f ca="1">'Forecasted 3 Statements'!R46</f>
        <v>215973.91272065527</v>
      </c>
      <c r="S78" s="20"/>
      <c r="AA78" s="56"/>
    </row>
    <row r="79" spans="1:27" ht="14.25" customHeight="1" x14ac:dyDescent="0.3">
      <c r="B79" s="159" t="s">
        <v>163</v>
      </c>
      <c r="C79" s="68">
        <v>0</v>
      </c>
      <c r="D79" s="68">
        <v>0</v>
      </c>
      <c r="E79" s="68">
        <v>0</v>
      </c>
      <c r="F79" s="68">
        <v>0</v>
      </c>
      <c r="G79" s="69">
        <v>0</v>
      </c>
      <c r="H79" s="28">
        <f t="shared" ref="H79:Q79" si="30">G79</f>
        <v>0</v>
      </c>
      <c r="I79" s="28">
        <f t="shared" si="30"/>
        <v>0</v>
      </c>
      <c r="J79" s="28">
        <f t="shared" si="30"/>
        <v>0</v>
      </c>
      <c r="K79" s="28">
        <f t="shared" si="30"/>
        <v>0</v>
      </c>
      <c r="L79" s="28">
        <f t="shared" si="30"/>
        <v>0</v>
      </c>
      <c r="M79" s="28">
        <f t="shared" si="30"/>
        <v>0</v>
      </c>
      <c r="N79" s="28">
        <f t="shared" si="30"/>
        <v>0</v>
      </c>
      <c r="O79" s="28">
        <f t="shared" si="30"/>
        <v>0</v>
      </c>
      <c r="P79" s="28">
        <f t="shared" si="30"/>
        <v>0</v>
      </c>
      <c r="Q79" s="28">
        <f t="shared" si="30"/>
        <v>0</v>
      </c>
      <c r="S79" s="20"/>
      <c r="AA79" s="56"/>
    </row>
    <row r="80" spans="1:27" ht="14.25" customHeight="1" x14ac:dyDescent="0.3">
      <c r="B80" s="160" t="s">
        <v>164</v>
      </c>
      <c r="C80" s="161">
        <v>0</v>
      </c>
      <c r="D80" s="161">
        <v>0</v>
      </c>
      <c r="E80" s="161">
        <v>0</v>
      </c>
      <c r="F80" s="161">
        <v>0</v>
      </c>
      <c r="G80" s="162">
        <v>6000</v>
      </c>
      <c r="H80" s="163">
        <v>0</v>
      </c>
      <c r="I80" s="163">
        <v>0</v>
      </c>
      <c r="J80" s="163">
        <v>0</v>
      </c>
      <c r="K80" s="163">
        <v>0</v>
      </c>
      <c r="L80" s="163">
        <v>0</v>
      </c>
      <c r="M80" s="163">
        <v>0</v>
      </c>
      <c r="N80" s="163">
        <v>0</v>
      </c>
      <c r="O80" s="163">
        <v>0</v>
      </c>
      <c r="P80" s="163">
        <v>0</v>
      </c>
      <c r="Q80" s="163">
        <v>0</v>
      </c>
      <c r="S80" s="20"/>
      <c r="AA80" s="56"/>
    </row>
    <row r="81" spans="1:27" ht="14.25" customHeight="1" x14ac:dyDescent="0.3">
      <c r="B81" s="52" t="s">
        <v>110</v>
      </c>
      <c r="C81" s="40">
        <f>'Forecasted 3 Statements'!D83</f>
        <v>19625</v>
      </c>
      <c r="D81" s="40">
        <f>'Forecasted 3 Statements'!E83</f>
        <v>31220</v>
      </c>
      <c r="E81" s="40">
        <f>'Forecasted 3 Statements'!F83</f>
        <v>52551</v>
      </c>
      <c r="F81" s="40">
        <f>'Forecasted 3 Statements'!G83</f>
        <v>85915</v>
      </c>
      <c r="G81" s="164">
        <f>'Forecasted 3 Statements'!H83</f>
        <v>83193</v>
      </c>
      <c r="H81" s="131">
        <f t="shared" ref="H81:Q81" ca="1" si="31">SUM(H77:H80)</f>
        <v>123200.76429895003</v>
      </c>
      <c r="I81" s="131">
        <f t="shared" ca="1" si="31"/>
        <v>174513.99954524345</v>
      </c>
      <c r="J81" s="131">
        <f t="shared" ca="1" si="31"/>
        <v>245014.35661308916</v>
      </c>
      <c r="K81" s="131">
        <f t="shared" ca="1" si="31"/>
        <v>338292.32652006723</v>
      </c>
      <c r="L81" s="131">
        <f t="shared" ca="1" si="31"/>
        <v>457160.66044885258</v>
      </c>
      <c r="M81" s="131">
        <f t="shared" ca="1" si="31"/>
        <v>603033.46410820936</v>
      </c>
      <c r="N81" s="131">
        <f t="shared" ca="1" si="31"/>
        <v>774891.9909868571</v>
      </c>
      <c r="O81" s="131">
        <f t="shared" ca="1" si="31"/>
        <v>968926.40869159601</v>
      </c>
      <c r="P81" s="131">
        <f t="shared" ca="1" si="31"/>
        <v>1178462.6190852423</v>
      </c>
      <c r="Q81" s="131">
        <f t="shared" ca="1" si="31"/>
        <v>1394436.5318058976</v>
      </c>
      <c r="S81" s="20"/>
      <c r="AA81" s="56"/>
    </row>
    <row r="82" spans="1:27" ht="14.25" customHeight="1" x14ac:dyDescent="0.3">
      <c r="F82" s="78"/>
      <c r="G82" s="79"/>
      <c r="H82" s="58"/>
      <c r="I82" s="58"/>
      <c r="J82" s="58"/>
      <c r="K82" s="58"/>
      <c r="L82" s="58"/>
      <c r="M82" s="58"/>
      <c r="N82" s="58"/>
      <c r="O82" s="58"/>
      <c r="P82" s="58"/>
      <c r="Q82" s="58"/>
      <c r="S82" s="20"/>
      <c r="AA82" s="56"/>
    </row>
    <row r="83" spans="1:27" ht="14.25" customHeight="1" x14ac:dyDescent="0.3">
      <c r="A83" s="7" t="s">
        <v>13</v>
      </c>
      <c r="B83" s="154" t="s">
        <v>165</v>
      </c>
      <c r="C83" s="155"/>
      <c r="D83" s="155"/>
      <c r="E83" s="155"/>
      <c r="F83" s="155"/>
      <c r="G83" s="156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S83" s="20"/>
      <c r="AA83" s="56"/>
    </row>
    <row r="84" spans="1:27" ht="14.25" customHeight="1" x14ac:dyDescent="0.3">
      <c r="B84" s="7" t="s">
        <v>166</v>
      </c>
      <c r="F84" s="78"/>
      <c r="G84" s="79"/>
      <c r="H84" s="51">
        <f ca="1">'Forecasted 3 Statements'!I67</f>
        <v>509920.79276818765</v>
      </c>
      <c r="I84" s="51">
        <f ca="1">'Forecasted 3 Statements'!J67</f>
        <v>648072.93506590952</v>
      </c>
      <c r="J84" s="51">
        <f ca="1">'Forecasted 3 Statements'!K67</f>
        <v>884267.16445514199</v>
      </c>
      <c r="K84" s="51">
        <f ca="1">'Forecasted 3 Statements'!L67</f>
        <v>1166826.0992546082</v>
      </c>
      <c r="L84" s="51">
        <f ca="1">'Forecasted 3 Statements'!M67</f>
        <v>1485395.236591927</v>
      </c>
      <c r="M84" s="51">
        <f ca="1">'Forecasted 3 Statements'!N67</f>
        <v>1820410.2623486568</v>
      </c>
      <c r="N84" s="51">
        <f ca="1">'Forecasted 3 Statements'!O67</f>
        <v>2143481.5268031643</v>
      </c>
      <c r="O84" s="51">
        <f ca="1">'Forecasted 3 Statements'!P67</f>
        <v>2420093.7916362747</v>
      </c>
      <c r="P84" s="51">
        <f ca="1">'Forecasted 3 Statements'!Q67</f>
        <v>2614695.5195184443</v>
      </c>
      <c r="Q84" s="51">
        <f ca="1">'Forecasted 3 Statements'!R67</f>
        <v>2697457.1193910823</v>
      </c>
      <c r="S84" s="20"/>
      <c r="AA84" s="56"/>
    </row>
    <row r="85" spans="1:27" ht="14.25" customHeight="1" x14ac:dyDescent="0.3">
      <c r="B85" s="7" t="s">
        <v>167</v>
      </c>
      <c r="F85" s="78"/>
      <c r="G85" s="79"/>
      <c r="H85" s="51">
        <f ca="1">'Forecasted 3 Statements'!I77+'Forecasted 3 Statements'!I83+'Forecasted 3 Statements'!I84</f>
        <v>491906.75238747377</v>
      </c>
      <c r="I85" s="51">
        <f ca="1">'Forecasted 3 Statements'!J77+'Forecasted 3 Statements'!J83+'Forecasted 3 Statements'!J84</f>
        <v>647687.30428074487</v>
      </c>
      <c r="J85" s="51">
        <f ca="1">'Forecasted 3 Statements'!K77+'Forecasted 3 Statements'!K83+'Forecasted 3 Statements'!K84</f>
        <v>896792.03867789288</v>
      </c>
      <c r="K85" s="51">
        <f ca="1">'Forecasted 3 Statements'!L77+'Forecasted 3 Statements'!L83+'Forecasted 3 Statements'!L84</f>
        <v>1203734.257449836</v>
      </c>
      <c r="L85" s="51">
        <f ca="1">'Forecasted 3 Statements'!M77+'Forecasted 3 Statements'!M83+'Forecasted 3 Statements'!M84</f>
        <v>1563496.8865423738</v>
      </c>
      <c r="M85" s="51">
        <f ca="1">'Forecasted 3 Statements'!N77+'Forecasted 3 Statements'!N83+'Forecasted 3 Statements'!N84</f>
        <v>1962699.9693790281</v>
      </c>
      <c r="N85" s="51">
        <f ca="1">'Forecasted 3 Statements'!O77+'Forecasted 3 Statements'!O83+'Forecasted 3 Statements'!O84</f>
        <v>2378857.191319352</v>
      </c>
      <c r="O85" s="51">
        <f ca="1">'Forecasted 3 Statements'!P77+'Forecasted 3 Statements'!P83+'Forecasted 3 Statements'!P84</f>
        <v>2782059.1295427699</v>
      </c>
      <c r="P85" s="51">
        <f ca="1">'Forecasted 3 Statements'!Q77+'Forecasted 3 Statements'!Q83+'Forecasted 3 Statements'!Q84</f>
        <v>3138748.4711770802</v>
      </c>
      <c r="Q85" s="51">
        <f ca="1">'Forecasted 3 Statements'!R77+'Forecasted 3 Statements'!R83+'Forecasted 3 Statements'!R84</f>
        <v>3417304.7088353625</v>
      </c>
      <c r="S85" s="20"/>
      <c r="AA85" s="56"/>
    </row>
    <row r="86" spans="1:27" ht="14.25" customHeight="1" x14ac:dyDescent="0.3">
      <c r="B86" s="47" t="s">
        <v>109</v>
      </c>
      <c r="F86" s="78"/>
      <c r="G86" s="79"/>
      <c r="H86" s="51">
        <f>'Forecasted 3 Statements'!H82</f>
        <v>67337</v>
      </c>
      <c r="I86" s="51">
        <f ca="1">'Forecasted 3 Statements'!I82</f>
        <v>18014.040380713879</v>
      </c>
      <c r="J86" s="51">
        <f ca="1">'Forecasted 3 Statements'!J82</f>
        <v>385.63078516465612</v>
      </c>
      <c r="K86" s="51">
        <f ca="1">'Forecasted 3 Statements'!K82</f>
        <v>-12524.874222750892</v>
      </c>
      <c r="L86" s="51">
        <f ca="1">'Forecasted 3 Statements'!L82</f>
        <v>-36908.15819522785</v>
      </c>
      <c r="M86" s="51">
        <f ca="1">'Forecasted 3 Statements'!M82</f>
        <v>-78101.649950446794</v>
      </c>
      <c r="N86" s="51">
        <f ca="1">'Forecasted 3 Statements'!N82</f>
        <v>-142289.7070303713</v>
      </c>
      <c r="O86" s="51">
        <f ca="1">'Forecasted 3 Statements'!O82</f>
        <v>-235375.66451618774</v>
      </c>
      <c r="P86" s="51">
        <f ca="1">'Forecasted 3 Statements'!P82</f>
        <v>-361965.3379064952</v>
      </c>
      <c r="Q86" s="51">
        <f ca="1">'Forecasted 3 Statements'!Q82</f>
        <v>-524052.95165863587</v>
      </c>
      <c r="S86" s="20"/>
      <c r="AA86" s="56"/>
    </row>
    <row r="87" spans="1:27" ht="14.25" customHeight="1" x14ac:dyDescent="0.3">
      <c r="B87" s="47" t="s">
        <v>168</v>
      </c>
      <c r="F87" s="78"/>
      <c r="G87" s="79"/>
      <c r="H87" s="51">
        <f>'Forecasted 3 Statements'!I51</f>
        <v>20158.267674450108</v>
      </c>
      <c r="I87" s="51">
        <f>'Forecasted 3 Statements'!J51</f>
        <v>20710.246961662509</v>
      </c>
      <c r="J87" s="51">
        <f>'Forecasted 3 Statements'!K51</f>
        <v>21277.340699106055</v>
      </c>
      <c r="K87" s="51">
        <f>'Forecasted 3 Statements'!L51</f>
        <v>21859.962754857101</v>
      </c>
      <c r="L87" s="51">
        <f>'Forecasted 3 Statements'!M51</f>
        <v>22458.538329642688</v>
      </c>
      <c r="M87" s="51">
        <f>'Forecasted 3 Statements'!N51</f>
        <v>23073.50426715432</v>
      </c>
      <c r="N87" s="51">
        <f>'Forecasted 3 Statements'!O51</f>
        <v>23705.30937285885</v>
      </c>
      <c r="O87" s="51">
        <f>'Forecasted 3 Statements'!P51</f>
        <v>24354.414741539149</v>
      </c>
      <c r="P87" s="51">
        <f>'Forecasted 3 Statements'!Q51</f>
        <v>25021.294093803564</v>
      </c>
      <c r="Q87" s="51">
        <f>'Forecasted 3 Statements'!R51</f>
        <v>25706.434121809783</v>
      </c>
      <c r="S87" s="20"/>
      <c r="AA87" s="56"/>
    </row>
    <row r="88" spans="1:27" ht="14.25" customHeight="1" x14ac:dyDescent="0.3">
      <c r="B88" s="47" t="s">
        <v>164</v>
      </c>
      <c r="F88" s="78"/>
      <c r="G88" s="79"/>
      <c r="H88" s="51">
        <f t="shared" ref="H88:Q88" ca="1" si="32">-((H86+H87)-(H84-H85))</f>
        <v>-69481.227293736229</v>
      </c>
      <c r="I88" s="51">
        <f t="shared" ca="1" si="32"/>
        <v>-38338.656557211732</v>
      </c>
      <c r="J88" s="51">
        <f t="shared" ca="1" si="32"/>
        <v>-34187.845707021603</v>
      </c>
      <c r="K88" s="51">
        <f t="shared" ca="1" si="32"/>
        <v>-46243.246727334059</v>
      </c>
      <c r="L88" s="51">
        <f t="shared" ca="1" si="32"/>
        <v>-63652.030084861632</v>
      </c>
      <c r="M88" s="51">
        <f t="shared" ca="1" si="32"/>
        <v>-87261.561347078823</v>
      </c>
      <c r="N88" s="51">
        <f t="shared" ca="1" si="32"/>
        <v>-116791.26685867528</v>
      </c>
      <c r="O88" s="51">
        <f t="shared" ca="1" si="32"/>
        <v>-150944.08813184663</v>
      </c>
      <c r="P88" s="51">
        <f t="shared" ca="1" si="32"/>
        <v>-187108.90784594422</v>
      </c>
      <c r="Q88" s="51">
        <f t="shared" ca="1" si="32"/>
        <v>-221501.07190745405</v>
      </c>
      <c r="S88" s="20" t="s">
        <v>169</v>
      </c>
      <c r="AA88" s="56"/>
    </row>
    <row r="89" spans="1:27" ht="14.25" customHeight="1" x14ac:dyDescent="0.3">
      <c r="B89" s="52" t="s">
        <v>110</v>
      </c>
      <c r="C89" s="35"/>
      <c r="D89" s="35"/>
      <c r="E89" s="35"/>
      <c r="F89" s="165"/>
      <c r="G89" s="166"/>
      <c r="H89" s="131">
        <f t="shared" ref="H89:Q89" ca="1" si="33">H86+H87+H88</f>
        <v>18014.040380713879</v>
      </c>
      <c r="I89" s="131">
        <f t="shared" ca="1" si="33"/>
        <v>385.63078516465612</v>
      </c>
      <c r="J89" s="131">
        <f t="shared" ca="1" si="33"/>
        <v>-12524.874222750892</v>
      </c>
      <c r="K89" s="131">
        <f t="shared" ca="1" si="33"/>
        <v>-36908.15819522785</v>
      </c>
      <c r="L89" s="131">
        <f t="shared" ca="1" si="33"/>
        <v>-78101.649950446794</v>
      </c>
      <c r="M89" s="131">
        <f t="shared" ca="1" si="33"/>
        <v>-142289.7070303713</v>
      </c>
      <c r="N89" s="131">
        <f t="shared" ca="1" si="33"/>
        <v>-235375.66451618774</v>
      </c>
      <c r="O89" s="131">
        <f t="shared" ca="1" si="33"/>
        <v>-361965.3379064952</v>
      </c>
      <c r="P89" s="131">
        <f t="shared" ca="1" si="33"/>
        <v>-524052.95165863587</v>
      </c>
      <c r="Q89" s="131">
        <f t="shared" ca="1" si="33"/>
        <v>-719847.58944428014</v>
      </c>
      <c r="S89" s="20" t="s">
        <v>170</v>
      </c>
      <c r="AA89" s="56"/>
    </row>
    <row r="90" spans="1:27" ht="14.25" customHeight="1" x14ac:dyDescent="0.3">
      <c r="F90" s="78"/>
      <c r="G90" s="79"/>
      <c r="H90" s="58"/>
      <c r="I90" s="58"/>
      <c r="J90" s="58"/>
      <c r="K90" s="58"/>
      <c r="L90" s="58"/>
      <c r="M90" s="58"/>
      <c r="N90" s="58"/>
      <c r="O90" s="58"/>
      <c r="P90" s="58"/>
      <c r="Q90" s="58"/>
      <c r="AA90" s="56"/>
    </row>
    <row r="91" spans="1:27" ht="14.25" customHeight="1" x14ac:dyDescent="0.3">
      <c r="A91" s="7" t="s">
        <v>13</v>
      </c>
      <c r="B91" s="137" t="s">
        <v>171</v>
      </c>
      <c r="C91" s="167"/>
      <c r="D91" s="167"/>
      <c r="E91" s="167"/>
      <c r="F91" s="167"/>
      <c r="G91" s="168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X91" s="170"/>
      <c r="AA91" s="56"/>
    </row>
    <row r="92" spans="1:27" ht="14.25" customHeight="1" x14ac:dyDescent="0.3">
      <c r="B92" s="60" t="str">
        <f>'Forecasted 3 Statements'!C16</f>
        <v xml:space="preserve">Fiscal year  </v>
      </c>
      <c r="C92" s="61">
        <f>'Forecasted 3 Statements'!D16</f>
        <v>2018</v>
      </c>
      <c r="D92" s="61">
        <f>'Forecasted 3 Statements'!E16</f>
        <v>2019</v>
      </c>
      <c r="E92" s="61">
        <f>'Forecasted 3 Statements'!F16</f>
        <v>2020</v>
      </c>
      <c r="F92" s="61">
        <f>'Forecasted 3 Statements'!G16</f>
        <v>2021</v>
      </c>
      <c r="G92" s="62">
        <f>'Forecasted 3 Statements'!H16</f>
        <v>2022</v>
      </c>
      <c r="H92" s="16">
        <f>'Forecasted 3 Statements'!I16</f>
        <v>2023</v>
      </c>
      <c r="I92" s="16">
        <f>'Forecasted 3 Statements'!J16</f>
        <v>2024</v>
      </c>
      <c r="J92" s="16">
        <f>'Forecasted 3 Statements'!K16</f>
        <v>2025</v>
      </c>
      <c r="K92" s="16">
        <f>'Forecasted 3 Statements'!L16</f>
        <v>2026</v>
      </c>
      <c r="L92" s="16">
        <f>'Forecasted 3 Statements'!M16</f>
        <v>2027</v>
      </c>
      <c r="M92" s="16">
        <f>'Forecasted 3 Statements'!N16</f>
        <v>2028</v>
      </c>
      <c r="N92" s="16">
        <f>'Forecasted 3 Statements'!O16</f>
        <v>2029</v>
      </c>
      <c r="O92" s="16">
        <f>'Forecasted 3 Statements'!P16</f>
        <v>2030</v>
      </c>
      <c r="P92" s="16">
        <f>'Forecasted 3 Statements'!Q16</f>
        <v>2031</v>
      </c>
      <c r="Q92" s="16">
        <f>'Forecasted 3 Statements'!R16</f>
        <v>2032</v>
      </c>
      <c r="X92" s="170"/>
      <c r="Y92" s="78"/>
      <c r="AA92" s="56"/>
    </row>
    <row r="93" spans="1:27" ht="14.25" customHeight="1" x14ac:dyDescent="0.3">
      <c r="B93" s="13" t="str">
        <f>'Forecasted 3 Statements'!C17</f>
        <v>Fiscal year end date</v>
      </c>
      <c r="C93" s="64">
        <f>'Forecasted 3 Statements'!D17</f>
        <v>43465</v>
      </c>
      <c r="D93" s="64">
        <f>'Forecasted 3 Statements'!E17</f>
        <v>43830</v>
      </c>
      <c r="E93" s="64">
        <f>'Forecasted 3 Statements'!F17</f>
        <v>44196</v>
      </c>
      <c r="F93" s="64">
        <f>'Forecasted 3 Statements'!G17</f>
        <v>44561</v>
      </c>
      <c r="G93" s="65">
        <f>'Forecasted 3 Statements'!H17</f>
        <v>44926</v>
      </c>
      <c r="H93" s="63">
        <f>'Forecasted 3 Statements'!I17</f>
        <v>45291</v>
      </c>
      <c r="I93" s="63">
        <f>'Forecasted 3 Statements'!J17</f>
        <v>45657</v>
      </c>
      <c r="J93" s="63">
        <f>'Forecasted 3 Statements'!K17</f>
        <v>46022</v>
      </c>
      <c r="K93" s="63">
        <f>'Forecasted 3 Statements'!L17</f>
        <v>46387</v>
      </c>
      <c r="L93" s="63">
        <f>'Forecasted 3 Statements'!M17</f>
        <v>46752</v>
      </c>
      <c r="M93" s="63">
        <f>'Forecasted 3 Statements'!N17</f>
        <v>47118</v>
      </c>
      <c r="N93" s="63">
        <f>'Forecasted 3 Statements'!O17</f>
        <v>47483</v>
      </c>
      <c r="O93" s="63">
        <f>'Forecasted 3 Statements'!P17</f>
        <v>47848</v>
      </c>
      <c r="P93" s="63">
        <f>'Forecasted 3 Statements'!Q17</f>
        <v>48213</v>
      </c>
      <c r="Q93" s="63">
        <f>'Forecasted 3 Statements'!R17</f>
        <v>48579</v>
      </c>
      <c r="X93" s="170"/>
      <c r="AA93" s="56"/>
    </row>
    <row r="94" spans="1:27" ht="14.25" customHeight="1" x14ac:dyDescent="0.3">
      <c r="B94" s="47"/>
      <c r="C94" s="80"/>
      <c r="D94" s="80"/>
      <c r="E94" s="80"/>
      <c r="F94" s="80"/>
      <c r="G94" s="81"/>
      <c r="H94" s="171"/>
      <c r="I94" s="171"/>
      <c r="J94" s="171"/>
      <c r="K94" s="171"/>
      <c r="L94" s="171"/>
      <c r="M94" s="171"/>
      <c r="N94" s="171"/>
      <c r="O94" s="171"/>
      <c r="P94" s="171"/>
      <c r="Q94" s="171"/>
      <c r="X94" s="170"/>
      <c r="AA94" s="56"/>
    </row>
    <row r="95" spans="1:27" ht="14.25" customHeight="1" x14ac:dyDescent="0.3">
      <c r="B95" s="172" t="s">
        <v>104</v>
      </c>
      <c r="C95" s="80"/>
      <c r="D95" s="80"/>
      <c r="E95" s="80"/>
      <c r="F95" s="80"/>
      <c r="G95" s="81"/>
      <c r="H95" s="58"/>
      <c r="I95" s="58"/>
      <c r="J95" s="58"/>
      <c r="K95" s="58"/>
      <c r="L95" s="58"/>
      <c r="M95" s="58"/>
      <c r="N95" s="58"/>
      <c r="O95" s="58"/>
      <c r="P95" s="58"/>
      <c r="Q95" s="58"/>
      <c r="AA95" s="56"/>
    </row>
    <row r="96" spans="1:27" ht="14.25" customHeight="1" x14ac:dyDescent="0.3">
      <c r="B96" s="47" t="s">
        <v>172</v>
      </c>
      <c r="C96" s="80">
        <f>'Forecasted 3 Statements'!D73</f>
        <v>23495</v>
      </c>
      <c r="D96" s="80">
        <f>'Forecasted 3 Statements'!E73</f>
        <v>23414</v>
      </c>
      <c r="E96" s="80">
        <f>'Forecasted 3 Statements'!F73</f>
        <v>31816</v>
      </c>
      <c r="F96" s="80">
        <f>'Forecasted 3 Statements'!G73</f>
        <v>48744</v>
      </c>
      <c r="G96" s="81">
        <f>'Forecasted 3 Statements'!H73</f>
        <v>67150</v>
      </c>
      <c r="H96" s="80">
        <f ca="1">'Forecasted 3 Statements'!I73</f>
        <v>74006.983810198944</v>
      </c>
      <c r="I96" s="80">
        <f ca="1">'Forecasted 3 Statements'!J73</f>
        <v>94057.594617551891</v>
      </c>
      <c r="J96" s="80">
        <f ca="1">'Forecasted 3 Statements'!K73</f>
        <v>128337.47250913229</v>
      </c>
      <c r="K96" s="80">
        <f ca="1">'Forecasted 3 Statements'!L73</f>
        <v>169346.45823730898</v>
      </c>
      <c r="L96" s="80">
        <f ca="1">'Forecasted 3 Statements'!M73</f>
        <v>215581.7585500576</v>
      </c>
      <c r="M96" s="80">
        <f ca="1">'Forecasted 3 Statements'!N73</f>
        <v>264203.92093091761</v>
      </c>
      <c r="N96" s="80">
        <f ca="1">'Forecasted 3 Statements'!O73</f>
        <v>311092.63419210562</v>
      </c>
      <c r="O96" s="80">
        <f ca="1">'Forecasted 3 Statements'!P73</f>
        <v>351238.55429486319</v>
      </c>
      <c r="P96" s="80">
        <f ca="1">'Forecasted 3 Statements'!Q73</f>
        <v>379481.93469641439</v>
      </c>
      <c r="Q96" s="80">
        <f ca="1">'Forecasted 3 Statements'!R73</f>
        <v>391493.47936912772</v>
      </c>
      <c r="S96" s="20" t="s">
        <v>173</v>
      </c>
      <c r="AA96" s="56"/>
    </row>
    <row r="97" spans="1:27" ht="14.25" customHeight="1" x14ac:dyDescent="0.3">
      <c r="B97" s="47" t="s">
        <v>174</v>
      </c>
      <c r="C97" s="173">
        <v>22696</v>
      </c>
      <c r="D97" s="173">
        <v>17095</v>
      </c>
      <c r="E97" s="173">
        <v>18060</v>
      </c>
      <c r="F97" s="173">
        <v>15670</v>
      </c>
      <c r="G97" s="174">
        <v>11386</v>
      </c>
      <c r="H97" s="123">
        <f ca="1">($G$97/'Forecasted 3 Statements'!$H$74)*'Forecasted 3 Statements'!I74</f>
        <v>13527.420626656207</v>
      </c>
      <c r="I97" s="123">
        <f ca="1">($G$97/'Forecasted 3 Statements'!$H$74)*'Forecasted 3 Statements'!J74</f>
        <v>17344.244513735466</v>
      </c>
      <c r="J97" s="123">
        <f ca="1">($G$97/'Forecasted 3 Statements'!$H$74)*'Forecasted 3 Statements'!K74</f>
        <v>23869.744312213552</v>
      </c>
      <c r="K97" s="123">
        <f ca="1">($G$97/'Forecasted 3 Statements'!$H$74)*'Forecasted 3 Statements'!L74</f>
        <v>31676.193592790922</v>
      </c>
      <c r="L97" s="123">
        <f ca="1">($G$97/'Forecasted 3 Statements'!$H$74)*'Forecasted 3 Statements'!M74</f>
        <v>40477.521410458517</v>
      </c>
      <c r="M97" s="123">
        <f ca="1">($G$97/'Forecasted 3 Statements'!$H$74)*'Forecasted 3 Statements'!N74</f>
        <v>49733.21105501819</v>
      </c>
      <c r="N97" s="123">
        <f ca="1">($G$97/'Forecasted 3 Statements'!$H$74)*'Forecasted 3 Statements'!O74</f>
        <v>58658.922223083056</v>
      </c>
      <c r="O97" s="123">
        <f ca="1">($G$97/'Forecasted 3 Statements'!$H$74)*'Forecasted 3 Statements'!P74</f>
        <v>66301.078778273295</v>
      </c>
      <c r="P97" s="123">
        <f ca="1">($G$97/'Forecasted 3 Statements'!$H$74)*'Forecasted 3 Statements'!Q74</f>
        <v>71677.474041452733</v>
      </c>
      <c r="Q97" s="123">
        <f ca="1">($G$97/'Forecasted 3 Statements'!$H$74)*'Forecasted 3 Statements'!R74</f>
        <v>73963.98546337508</v>
      </c>
      <c r="S97" s="20"/>
      <c r="X97" s="170"/>
      <c r="AA97" s="56"/>
    </row>
    <row r="98" spans="1:27" ht="14.25" customHeight="1" x14ac:dyDescent="0.3">
      <c r="B98" s="47" t="s">
        <v>175</v>
      </c>
      <c r="C98" s="51">
        <f t="shared" ref="C98:Q98" si="34">SUM(C96:C97)</f>
        <v>46191</v>
      </c>
      <c r="D98" s="51">
        <f t="shared" si="34"/>
        <v>40509</v>
      </c>
      <c r="E98" s="51">
        <f t="shared" si="34"/>
        <v>49876</v>
      </c>
      <c r="F98" s="51">
        <f t="shared" si="34"/>
        <v>64414</v>
      </c>
      <c r="G98" s="175">
        <f t="shared" si="34"/>
        <v>78536</v>
      </c>
      <c r="H98" s="51">
        <f t="shared" ca="1" si="34"/>
        <v>87534.404436855155</v>
      </c>
      <c r="I98" s="51">
        <f t="shared" ca="1" si="34"/>
        <v>111401.83913128736</v>
      </c>
      <c r="J98" s="51">
        <f t="shared" ca="1" si="34"/>
        <v>152207.21682134585</v>
      </c>
      <c r="K98" s="51">
        <f t="shared" ca="1" si="34"/>
        <v>201022.6518300999</v>
      </c>
      <c r="L98" s="51">
        <f t="shared" ca="1" si="34"/>
        <v>256059.27996051611</v>
      </c>
      <c r="M98" s="51">
        <f t="shared" ca="1" si="34"/>
        <v>313937.13198593579</v>
      </c>
      <c r="N98" s="51">
        <f t="shared" ca="1" si="34"/>
        <v>369751.55641518865</v>
      </c>
      <c r="O98" s="51">
        <f t="shared" ca="1" si="34"/>
        <v>417539.6330731365</v>
      </c>
      <c r="P98" s="51">
        <f t="shared" ca="1" si="34"/>
        <v>451159.40873786714</v>
      </c>
      <c r="Q98" s="51">
        <f t="shared" ca="1" si="34"/>
        <v>465457.46483250277</v>
      </c>
      <c r="S98" s="20"/>
      <c r="X98" s="170"/>
      <c r="AA98" s="56"/>
    </row>
    <row r="99" spans="1:27" ht="14.25" customHeight="1" x14ac:dyDescent="0.3">
      <c r="B99" s="47" t="s">
        <v>176</v>
      </c>
      <c r="C99" s="176"/>
      <c r="D99" s="176">
        <f t="shared" ref="D99:G99" si="35">D100/AVERAGE(C96:D96)</f>
        <v>-6.8217186467415633E-2</v>
      </c>
      <c r="E99" s="176">
        <f t="shared" si="35"/>
        <v>-5.9641499185225419E-2</v>
      </c>
      <c r="F99" s="176">
        <f t="shared" si="35"/>
        <v>-4.4910625620655412E-2</v>
      </c>
      <c r="G99" s="177">
        <f t="shared" si="35"/>
        <v>-4.0847671147772963E-2</v>
      </c>
      <c r="H99" s="178">
        <f t="shared" ref="H99:L99" si="36">G99-0.001</f>
        <v>-4.1847671147772963E-2</v>
      </c>
      <c r="I99" s="178">
        <f t="shared" si="36"/>
        <v>-4.2847671147772964E-2</v>
      </c>
      <c r="J99" s="178">
        <f t="shared" si="36"/>
        <v>-4.3847671147772965E-2</v>
      </c>
      <c r="K99" s="178">
        <f t="shared" si="36"/>
        <v>-4.4847671147772966E-2</v>
      </c>
      <c r="L99" s="178">
        <f t="shared" si="36"/>
        <v>-4.5847671147772967E-2</v>
      </c>
      <c r="M99" s="178">
        <f t="shared" ref="M99:Q99" si="37">L99</f>
        <v>-4.5847671147772967E-2</v>
      </c>
      <c r="N99" s="178">
        <f t="shared" si="37"/>
        <v>-4.5847671147772967E-2</v>
      </c>
      <c r="O99" s="178">
        <f t="shared" si="37"/>
        <v>-4.5847671147772967E-2</v>
      </c>
      <c r="P99" s="178">
        <f t="shared" si="37"/>
        <v>-4.5847671147772967E-2</v>
      </c>
      <c r="Q99" s="178">
        <f t="shared" si="37"/>
        <v>-4.5847671147772967E-2</v>
      </c>
      <c r="S99" s="20" t="s">
        <v>177</v>
      </c>
      <c r="X99" s="170"/>
      <c r="AA99" s="56"/>
    </row>
    <row r="100" spans="1:27" ht="14.25" customHeight="1" x14ac:dyDescent="0.3">
      <c r="B100" s="52" t="s">
        <v>40</v>
      </c>
      <c r="C100" s="129"/>
      <c r="D100" s="129">
        <f>-('Forecasted 3 Statements'!E40)</f>
        <v>-1600</v>
      </c>
      <c r="E100" s="129">
        <f>-('Forecasted 3 Statements'!F40)</f>
        <v>-1647</v>
      </c>
      <c r="F100" s="129">
        <f>-('Forecasted 3 Statements'!G40)</f>
        <v>-1809</v>
      </c>
      <c r="G100" s="130">
        <f>-('Forecasted 3 Statements'!H40)</f>
        <v>-2367</v>
      </c>
      <c r="H100" s="131">
        <f t="shared" ref="H100:Q100" ca="1" si="38">AVERAGE(G96:H96)*H99</f>
        <v>-2953.545519350359</v>
      </c>
      <c r="I100" s="131">
        <f t="shared" ca="1" si="38"/>
        <v>-3600.5878940306834</v>
      </c>
      <c r="J100" s="131">
        <f t="shared" ca="1" si="38"/>
        <v>-4875.7528841288713</v>
      </c>
      <c r="K100" s="131">
        <f t="shared" ca="1" si="38"/>
        <v>-6675.215516046409</v>
      </c>
      <c r="L100" s="131">
        <f t="shared" ca="1" si="38"/>
        <v>-8824.0311493829213</v>
      </c>
      <c r="M100" s="131">
        <f t="shared" ca="1" si="38"/>
        <v>-10998.528027127277</v>
      </c>
      <c r="N100" s="131">
        <f t="shared" ca="1" si="38"/>
        <v>-13188.003635863506</v>
      </c>
      <c r="O100" s="131">
        <f t="shared" ca="1" si="38"/>
        <v>-15183.17126033209</v>
      </c>
      <c r="P100" s="131">
        <f t="shared" ca="1" si="38"/>
        <v>-16750.916340105974</v>
      </c>
      <c r="Q100" s="131">
        <f t="shared" ca="1" si="38"/>
        <v>-17673.713623547537</v>
      </c>
      <c r="S100" s="20" t="s">
        <v>178</v>
      </c>
      <c r="AA100" s="56"/>
    </row>
    <row r="101" spans="1:27" ht="14.25" customHeight="1" x14ac:dyDescent="0.3">
      <c r="F101" s="80"/>
      <c r="G101" s="56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S101" s="20"/>
      <c r="AA101" s="56"/>
    </row>
    <row r="102" spans="1:27" ht="14.25" customHeight="1" x14ac:dyDescent="0.3">
      <c r="B102" s="172" t="s">
        <v>179</v>
      </c>
      <c r="F102" s="80"/>
      <c r="G102" s="81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S102" s="20"/>
      <c r="AA102" s="56"/>
    </row>
    <row r="103" spans="1:27" ht="14.25" customHeight="1" x14ac:dyDescent="0.3">
      <c r="B103" s="47" t="s">
        <v>180</v>
      </c>
      <c r="C103" s="78">
        <f>'Forecasted 3 Statements'!D59+'Forecasted 3 Statements'!D60</f>
        <v>41250</v>
      </c>
      <c r="D103" s="78">
        <f>'Forecasted 3 Statements'!E59+'Forecasted 3 Statements'!E60</f>
        <v>55021</v>
      </c>
      <c r="E103" s="78">
        <f>'Forecasted 3 Statements'!F59+'Forecasted 3 Statements'!F60</f>
        <v>84396</v>
      </c>
      <c r="F103" s="78">
        <f>'Forecasted 3 Statements'!G59+'Forecasted 3 Statements'!G60</f>
        <v>96049</v>
      </c>
      <c r="G103" s="79">
        <f>'Forecasted 3 Statements'!H59+'Forecasted 3 Statements'!H60</f>
        <v>70026</v>
      </c>
      <c r="H103" s="78">
        <f ca="1">'Forecasted 3 Statements'!I59+'Forecasted 3 Statements'!I60</f>
        <v>83196.131811191604</v>
      </c>
      <c r="I103" s="78">
        <f ca="1">'Forecasted 3 Statements'!J59+'Forecasted 3 Statements'!J60</f>
        <v>106670.30268038291</v>
      </c>
      <c r="J103" s="78">
        <f ca="1">'Forecasted 3 Statements'!K59+'Forecasted 3 Statements'!K60</f>
        <v>146803.32998481172</v>
      </c>
      <c r="K103" s="78">
        <f ca="1">'Forecasted 3 Statements'!L59+'Forecasted 3 Statements'!L60</f>
        <v>194814.43285866652</v>
      </c>
      <c r="L103" s="78">
        <f ca="1">'Forecasted 3 Statements'!M59+'Forecasted 3 Statements'!M60</f>
        <v>248944.22222806676</v>
      </c>
      <c r="M103" s="78">
        <f ca="1">'Forecasted 3 Statements'!N59+'Forecasted 3 Statements'!N60</f>
        <v>305868.42063399823</v>
      </c>
      <c r="N103" s="78">
        <f ca="1">'Forecasted 3 Statements'!O59+'Forecasted 3 Statements'!O60</f>
        <v>360763.19054923713</v>
      </c>
      <c r="O103" s="78">
        <f ca="1">'Forecasted 3 Statements'!P59+'Forecasted 3 Statements'!P60</f>
        <v>407763.86286029918</v>
      </c>
      <c r="P103" s="78">
        <f ca="1">'Forecasted 3 Statements'!Q59+'Forecasted 3 Statements'!Q60</f>
        <v>440829.68533521594</v>
      </c>
      <c r="Q103" s="78">
        <f ca="1">'Forecasted 3 Statements'!R59+'Forecasted 3 Statements'!R60</f>
        <v>454892.15229740931</v>
      </c>
      <c r="S103" s="20"/>
      <c r="AA103" s="56"/>
    </row>
    <row r="104" spans="1:27" ht="14.25" customHeight="1" x14ac:dyDescent="0.3">
      <c r="B104" s="47" t="s">
        <v>181</v>
      </c>
      <c r="C104" s="179"/>
      <c r="D104" s="179">
        <f t="shared" ref="D104:G104" si="39">D105/AVERAGE(C103:D103)</f>
        <v>1.7284540515835507E-2</v>
      </c>
      <c r="E104" s="179">
        <f t="shared" si="39"/>
        <v>7.9617263317959784E-3</v>
      </c>
      <c r="F104" s="179">
        <f t="shared" si="39"/>
        <v>4.9655019535038382E-3</v>
      </c>
      <c r="G104" s="180">
        <f t="shared" si="39"/>
        <v>1.1910281499322595E-2</v>
      </c>
      <c r="H104" s="181">
        <f t="shared" ref="H104:Q104" si="40">G104</f>
        <v>1.1910281499322595E-2</v>
      </c>
      <c r="I104" s="181">
        <f t="shared" si="40"/>
        <v>1.1910281499322595E-2</v>
      </c>
      <c r="J104" s="181">
        <f t="shared" si="40"/>
        <v>1.1910281499322595E-2</v>
      </c>
      <c r="K104" s="181">
        <f t="shared" si="40"/>
        <v>1.1910281499322595E-2</v>
      </c>
      <c r="L104" s="181">
        <f t="shared" si="40"/>
        <v>1.1910281499322595E-2</v>
      </c>
      <c r="M104" s="181">
        <f t="shared" si="40"/>
        <v>1.1910281499322595E-2</v>
      </c>
      <c r="N104" s="181">
        <f t="shared" si="40"/>
        <v>1.1910281499322595E-2</v>
      </c>
      <c r="O104" s="181">
        <f t="shared" si="40"/>
        <v>1.1910281499322595E-2</v>
      </c>
      <c r="P104" s="181">
        <f t="shared" si="40"/>
        <v>1.1910281499322595E-2</v>
      </c>
      <c r="Q104" s="181">
        <f t="shared" si="40"/>
        <v>1.1910281499322595E-2</v>
      </c>
      <c r="S104" s="20" t="s">
        <v>182</v>
      </c>
      <c r="AA104" s="56"/>
    </row>
    <row r="105" spans="1:27" ht="14.25" customHeight="1" x14ac:dyDescent="0.3">
      <c r="B105" s="52" t="s">
        <v>38</v>
      </c>
      <c r="C105" s="129">
        <f>'Forecasted 3 Statements'!D39</f>
        <v>440</v>
      </c>
      <c r="D105" s="129">
        <f>'Forecasted 3 Statements'!E39</f>
        <v>832</v>
      </c>
      <c r="E105" s="129">
        <f>'Forecasted 3 Statements'!F39</f>
        <v>555</v>
      </c>
      <c r="F105" s="129">
        <f>'Forecasted 3 Statements'!G39</f>
        <v>448</v>
      </c>
      <c r="G105" s="130">
        <f>'Forecasted 3 Statements'!H39</f>
        <v>989</v>
      </c>
      <c r="H105" s="182">
        <f t="shared" ref="H105:Q105" ca="1" si="41">H104*AVERAGE(G103:H103)</f>
        <v>912.45936089880183</v>
      </c>
      <c r="I105" s="182">
        <f t="shared" ca="1" si="41"/>
        <v>1130.6813410336729</v>
      </c>
      <c r="J105" s="182">
        <f t="shared" ca="1" si="41"/>
        <v>1509.4711588491796</v>
      </c>
      <c r="K105" s="182">
        <f t="shared" ca="1" si="41"/>
        <v>2034.3818603173263</v>
      </c>
      <c r="L105" s="182">
        <f t="shared" ca="1" si="41"/>
        <v>2642.6452499218981</v>
      </c>
      <c r="M105" s="182">
        <f t="shared" ca="1" si="41"/>
        <v>3303.9873779351637</v>
      </c>
      <c r="N105" s="182">
        <f t="shared" ca="1" si="41"/>
        <v>3969.8850727696513</v>
      </c>
      <c r="O105" s="182">
        <f t="shared" ca="1" si="41"/>
        <v>4576.6867729762544</v>
      </c>
      <c r="P105" s="182">
        <f t="shared" ca="1" si="41"/>
        <v>5053.4940187587799</v>
      </c>
      <c r="Q105" s="182">
        <f t="shared" ca="1" si="41"/>
        <v>5334.1496156475469</v>
      </c>
      <c r="S105" s="20" t="s">
        <v>183</v>
      </c>
      <c r="AA105" s="56"/>
    </row>
    <row r="106" spans="1:27" ht="14.25" customHeight="1" x14ac:dyDescent="0.3">
      <c r="B106" s="183"/>
      <c r="C106" s="176"/>
      <c r="D106" s="176"/>
      <c r="E106" s="176"/>
      <c r="F106" s="176"/>
      <c r="G106" s="177"/>
      <c r="H106" s="57"/>
      <c r="I106" s="178"/>
      <c r="J106" s="58"/>
      <c r="K106" s="58"/>
      <c r="L106" s="58"/>
      <c r="M106" s="58"/>
      <c r="N106" s="58"/>
      <c r="O106" s="58"/>
      <c r="P106" s="58"/>
      <c r="Q106" s="58"/>
      <c r="AA106" s="56"/>
    </row>
    <row r="107" spans="1:27" ht="14.25" customHeight="1" x14ac:dyDescent="0.3">
      <c r="A107" s="7" t="s">
        <v>13</v>
      </c>
      <c r="B107" s="12" t="s">
        <v>184</v>
      </c>
      <c r="C107" s="12"/>
      <c r="D107" s="12"/>
      <c r="E107" s="12"/>
      <c r="F107" s="12"/>
      <c r="G107" s="184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AA107" s="56"/>
    </row>
    <row r="108" spans="1:27" ht="14.25" customHeight="1" x14ac:dyDescent="0.3">
      <c r="B108" s="60"/>
      <c r="C108" s="61">
        <f>'Forecasted 3 Statements'!D16</f>
        <v>2018</v>
      </c>
      <c r="D108" s="61">
        <f>'Forecasted 3 Statements'!E16</f>
        <v>2019</v>
      </c>
      <c r="E108" s="61">
        <f>'Forecasted 3 Statements'!F16</f>
        <v>2020</v>
      </c>
      <c r="F108" s="61">
        <f>'Forecasted 3 Statements'!G16</f>
        <v>2021</v>
      </c>
      <c r="G108" s="185">
        <f>'Forecasted 3 Statements'!H16</f>
        <v>2022</v>
      </c>
      <c r="H108" s="16">
        <f>'Forecasted 3 Statements'!I16</f>
        <v>2023</v>
      </c>
      <c r="I108" s="16">
        <f>'Forecasted 3 Statements'!J16</f>
        <v>2024</v>
      </c>
      <c r="J108" s="16">
        <f>'Forecasted 3 Statements'!K16</f>
        <v>2025</v>
      </c>
      <c r="K108" s="16">
        <f>'Forecasted 3 Statements'!L16</f>
        <v>2026</v>
      </c>
      <c r="L108" s="16">
        <f>'Forecasted 3 Statements'!M16</f>
        <v>2027</v>
      </c>
      <c r="M108" s="16">
        <f>'Forecasted 3 Statements'!N16</f>
        <v>2028</v>
      </c>
      <c r="N108" s="16">
        <f>'Forecasted 3 Statements'!O16</f>
        <v>2029</v>
      </c>
      <c r="O108" s="16">
        <f>'Forecasted 3 Statements'!P16</f>
        <v>2030</v>
      </c>
      <c r="P108" s="16">
        <f>'Forecasted 3 Statements'!Q16</f>
        <v>2031</v>
      </c>
      <c r="Q108" s="16">
        <f>'Forecasted 3 Statements'!R16</f>
        <v>2032</v>
      </c>
      <c r="AA108" s="56"/>
    </row>
    <row r="109" spans="1:27" ht="14.25" customHeight="1" x14ac:dyDescent="0.3">
      <c r="B109" s="13"/>
      <c r="C109" s="64">
        <f>'Forecasted 3 Statements'!D17</f>
        <v>43465</v>
      </c>
      <c r="D109" s="64">
        <f>'Forecasted 3 Statements'!E17</f>
        <v>43830</v>
      </c>
      <c r="E109" s="64">
        <f>'Forecasted 3 Statements'!F17</f>
        <v>44196</v>
      </c>
      <c r="F109" s="64">
        <f>'Forecasted 3 Statements'!G17</f>
        <v>44561</v>
      </c>
      <c r="G109" s="65">
        <f>'Forecasted 3 Statements'!H17</f>
        <v>44926</v>
      </c>
      <c r="H109" s="63">
        <f>'Forecasted 3 Statements'!I17</f>
        <v>45291</v>
      </c>
      <c r="I109" s="63">
        <f>'Forecasted 3 Statements'!J17</f>
        <v>45657</v>
      </c>
      <c r="J109" s="63">
        <f>'Forecasted 3 Statements'!K17</f>
        <v>46022</v>
      </c>
      <c r="K109" s="63">
        <f>'Forecasted 3 Statements'!L17</f>
        <v>46387</v>
      </c>
      <c r="L109" s="63">
        <f>'Forecasted 3 Statements'!M17</f>
        <v>46752</v>
      </c>
      <c r="M109" s="63">
        <f>'Forecasted 3 Statements'!N17</f>
        <v>47118</v>
      </c>
      <c r="N109" s="63">
        <f>'Forecasted 3 Statements'!O17</f>
        <v>47483</v>
      </c>
      <c r="O109" s="63">
        <f>'Forecasted 3 Statements'!P17</f>
        <v>47848</v>
      </c>
      <c r="P109" s="63">
        <f>'Forecasted 3 Statements'!Q17</f>
        <v>48213</v>
      </c>
      <c r="Q109" s="63">
        <f>'Forecasted 3 Statements'!R17</f>
        <v>48579</v>
      </c>
      <c r="AA109" s="56"/>
    </row>
    <row r="110" spans="1:27" ht="14.25" customHeight="1" x14ac:dyDescent="0.3">
      <c r="G110" s="186"/>
      <c r="H110" s="187"/>
      <c r="I110" s="187"/>
      <c r="J110" s="136"/>
      <c r="K110" s="136"/>
      <c r="L110" s="58"/>
      <c r="M110" s="58"/>
      <c r="N110" s="58"/>
      <c r="O110" s="58"/>
      <c r="P110" s="58"/>
      <c r="Q110" s="58"/>
      <c r="AA110" s="56"/>
    </row>
    <row r="111" spans="1:27" ht="14.25" customHeight="1" x14ac:dyDescent="0.3">
      <c r="B111" s="7" t="s">
        <v>51</v>
      </c>
      <c r="C111" s="80"/>
      <c r="D111" s="80"/>
      <c r="E111" s="80"/>
      <c r="F111" s="80"/>
      <c r="G111" s="81">
        <f>'Forecasted 3 Statements'!H46</f>
        <v>-2722</v>
      </c>
      <c r="H111" s="51">
        <f ca="1">'Forecasted 3 Statements'!I46</f>
        <v>40007.764298950024</v>
      </c>
      <c r="I111" s="51">
        <f ca="1">'Forecasted 3 Statements'!J46</f>
        <v>51313.235246293436</v>
      </c>
      <c r="J111" s="51">
        <f ca="1">'Forecasted 3 Statements'!K46</f>
        <v>70500.357067845704</v>
      </c>
      <c r="K111" s="51">
        <f ca="1">'Forecasted 3 Statements'!L46</f>
        <v>93277.969906978062</v>
      </c>
      <c r="L111" s="51">
        <f ca="1">'Forecasted 3 Statements'!M46</f>
        <v>118868.33392878537</v>
      </c>
      <c r="M111" s="51">
        <f ca="1">'Forecasted 3 Statements'!N46</f>
        <v>145872.80365935675</v>
      </c>
      <c r="N111" s="51">
        <f ca="1">'Forecasted 3 Statements'!O46</f>
        <v>171858.52687864771</v>
      </c>
      <c r="O111" s="51">
        <f ca="1">'Forecasted 3 Statements'!P46</f>
        <v>194034.41770473894</v>
      </c>
      <c r="P111" s="51">
        <f ca="1">'Forecasted 3 Statements'!Q46</f>
        <v>209536.21039364627</v>
      </c>
      <c r="Q111" s="51">
        <f ca="1">'Forecasted 3 Statements'!R46</f>
        <v>215973.91272065527</v>
      </c>
      <c r="S111" s="7" t="s">
        <v>185</v>
      </c>
      <c r="AA111" s="56"/>
    </row>
    <row r="112" spans="1:27" ht="14.25" customHeight="1" x14ac:dyDescent="0.3">
      <c r="B112" s="7" t="s">
        <v>186</v>
      </c>
      <c r="C112" s="188"/>
      <c r="D112" s="188"/>
      <c r="E112" s="188"/>
      <c r="F112" s="188"/>
      <c r="G112" s="189">
        <f>H121</f>
        <v>10322</v>
      </c>
      <c r="H112" s="51">
        <f t="shared" ref="H112:Q112" ca="1" si="42">G112+((H116+H117)/H118)</f>
        <v>9906.2636579628615</v>
      </c>
      <c r="I112" s="51">
        <f t="shared" ca="1" si="42"/>
        <v>9770.1198024804762</v>
      </c>
      <c r="J112" s="51">
        <f t="shared" ca="1" si="42"/>
        <v>9678.7623052191375</v>
      </c>
      <c r="K112" s="51">
        <f t="shared" ca="1" si="42"/>
        <v>9520.6705540209496</v>
      </c>
      <c r="L112" s="51">
        <f t="shared" ca="1" si="42"/>
        <v>9275.954945481737</v>
      </c>
      <c r="M112" s="51">
        <f t="shared" ca="1" si="42"/>
        <v>8926.5706781899389</v>
      </c>
      <c r="N112" s="51">
        <f t="shared" ca="1" si="42"/>
        <v>8462.3234327554128</v>
      </c>
      <c r="O112" s="51">
        <f t="shared" ca="1" si="42"/>
        <v>7883.8552252496529</v>
      </c>
      <c r="P112" s="51">
        <f t="shared" ca="1" si="42"/>
        <v>7205.2032850422202</v>
      </c>
      <c r="Q112" s="51">
        <f t="shared" ca="1" si="42"/>
        <v>6454.0750100487876</v>
      </c>
      <c r="S112" s="7" t="s">
        <v>187</v>
      </c>
      <c r="AA112" s="56"/>
    </row>
    <row r="113" spans="2:27" ht="14.25" customHeight="1" x14ac:dyDescent="0.3">
      <c r="B113" s="35" t="s">
        <v>188</v>
      </c>
      <c r="C113" s="190"/>
      <c r="D113" s="190"/>
      <c r="E113" s="190"/>
      <c r="F113" s="190"/>
      <c r="G113" s="191">
        <f>G111/G112</f>
        <v>-0.26370858360782795</v>
      </c>
      <c r="H113" s="192">
        <f t="shared" ref="H113:Q113" ca="1" si="43">H111/AVERAGE(G112:H112)</f>
        <v>3.9556301000853287</v>
      </c>
      <c r="I113" s="192">
        <f t="shared" ca="1" si="43"/>
        <v>5.2157181577043001</v>
      </c>
      <c r="J113" s="192">
        <f t="shared" ca="1" si="43"/>
        <v>7.2498107271610568</v>
      </c>
      <c r="K113" s="192">
        <f t="shared" ca="1" si="43"/>
        <v>9.7167422174229792</v>
      </c>
      <c r="L113" s="192">
        <f t="shared" ca="1" si="43"/>
        <v>12.647837659151143</v>
      </c>
      <c r="M113" s="192">
        <f t="shared" ca="1" si="43"/>
        <v>16.027754244131359</v>
      </c>
      <c r="N113" s="192">
        <f t="shared" ca="1" si="43"/>
        <v>19.766469998856596</v>
      </c>
      <c r="O113" s="192">
        <f t="shared" ca="1" si="43"/>
        <v>23.740645659677313</v>
      </c>
      <c r="P113" s="192">
        <f t="shared" ca="1" si="43"/>
        <v>27.773265011959069</v>
      </c>
      <c r="Q113" s="192">
        <f t="shared" ca="1" si="43"/>
        <v>31.623034256249671</v>
      </c>
      <c r="S113" s="7" t="s">
        <v>189</v>
      </c>
      <c r="AA113" s="56"/>
    </row>
    <row r="114" spans="2:27" ht="14.25" customHeight="1" x14ac:dyDescent="0.3">
      <c r="C114" s="188"/>
      <c r="D114" s="188"/>
      <c r="E114" s="188"/>
      <c r="F114" s="188"/>
      <c r="G114" s="189"/>
      <c r="H114" s="51"/>
      <c r="I114" s="58"/>
      <c r="J114" s="58"/>
      <c r="K114" s="58"/>
      <c r="L114" s="58"/>
      <c r="M114" s="58"/>
      <c r="N114" s="58"/>
      <c r="O114" s="58"/>
      <c r="P114" s="58"/>
      <c r="Q114" s="58"/>
      <c r="AA114" s="56"/>
    </row>
    <row r="115" spans="2:27" ht="14.25" customHeight="1" x14ac:dyDescent="0.3">
      <c r="G115" s="56"/>
      <c r="H115" s="193"/>
      <c r="I115" s="58"/>
      <c r="J115" s="58"/>
      <c r="K115" s="58"/>
      <c r="L115" s="58"/>
      <c r="M115" s="58"/>
      <c r="N115" s="58"/>
      <c r="O115" s="58"/>
      <c r="P115" s="58"/>
      <c r="Q115" s="58"/>
      <c r="AA115" s="56"/>
    </row>
    <row r="116" spans="2:27" ht="14.25" customHeight="1" x14ac:dyDescent="0.3">
      <c r="B116" s="7" t="s">
        <v>190</v>
      </c>
      <c r="G116" s="56"/>
      <c r="H116" s="51">
        <f t="shared" ref="H116:Q116" ca="1" si="44">H88</f>
        <v>-69481.227293736229</v>
      </c>
      <c r="I116" s="51">
        <f t="shared" ca="1" si="44"/>
        <v>-38338.656557211732</v>
      </c>
      <c r="J116" s="51">
        <f t="shared" ca="1" si="44"/>
        <v>-34187.845707021603</v>
      </c>
      <c r="K116" s="51">
        <f t="shared" ca="1" si="44"/>
        <v>-46243.246727334059</v>
      </c>
      <c r="L116" s="51">
        <f t="shared" ca="1" si="44"/>
        <v>-63652.030084861632</v>
      </c>
      <c r="M116" s="51">
        <f t="shared" ca="1" si="44"/>
        <v>-87261.561347078823</v>
      </c>
      <c r="N116" s="51">
        <f t="shared" ca="1" si="44"/>
        <v>-116791.26685867528</v>
      </c>
      <c r="O116" s="51">
        <f t="shared" ca="1" si="44"/>
        <v>-150944.08813184663</v>
      </c>
      <c r="P116" s="51">
        <f t="shared" ca="1" si="44"/>
        <v>-187108.90784594422</v>
      </c>
      <c r="Q116" s="51">
        <f t="shared" ca="1" si="44"/>
        <v>-221501.07190745405</v>
      </c>
      <c r="S116" s="7" t="s">
        <v>191</v>
      </c>
      <c r="AA116" s="56"/>
    </row>
    <row r="117" spans="2:27" ht="14.25" customHeight="1" x14ac:dyDescent="0.3">
      <c r="B117" s="7" t="s">
        <v>192</v>
      </c>
      <c r="G117" s="56"/>
      <c r="H117" s="123">
        <f>'Forecasted 3 Statements'!I51</f>
        <v>20158.267674450108</v>
      </c>
      <c r="I117" s="123">
        <f>'Forecasted 3 Statements'!J51</f>
        <v>20710.246961662509</v>
      </c>
      <c r="J117" s="123">
        <f>'Forecasted 3 Statements'!K51</f>
        <v>21277.340699106055</v>
      </c>
      <c r="K117" s="123">
        <f>'Forecasted 3 Statements'!L51</f>
        <v>21859.962754857101</v>
      </c>
      <c r="L117" s="123">
        <f>'Forecasted 3 Statements'!M51</f>
        <v>22458.538329642688</v>
      </c>
      <c r="M117" s="123">
        <f>'Forecasted 3 Statements'!N51</f>
        <v>23073.50426715432</v>
      </c>
      <c r="N117" s="123">
        <f>'Forecasted 3 Statements'!O51</f>
        <v>23705.30937285885</v>
      </c>
      <c r="O117" s="123">
        <f>'Forecasted 3 Statements'!P51</f>
        <v>24354.414741539149</v>
      </c>
      <c r="P117" s="123">
        <f>'Forecasted 3 Statements'!Q51</f>
        <v>25021.294093803564</v>
      </c>
      <c r="Q117" s="123">
        <f>'Forecasted 3 Statements'!R51</f>
        <v>25706.434121809783</v>
      </c>
      <c r="S117" s="7" t="s">
        <v>193</v>
      </c>
      <c r="AA117" s="56"/>
    </row>
    <row r="118" spans="2:27" ht="14.25" customHeight="1" x14ac:dyDescent="0.3">
      <c r="B118" s="7" t="s">
        <v>194</v>
      </c>
      <c r="G118" s="56"/>
      <c r="H118" s="194">
        <v>118.64</v>
      </c>
      <c r="I118" s="193">
        <f t="shared" ref="I118:Q118" si="45">H118*(1+I119)</f>
        <v>129.48369599999998</v>
      </c>
      <c r="J118" s="193">
        <f t="shared" si="45"/>
        <v>141.31850581439997</v>
      </c>
      <c r="K118" s="193">
        <f t="shared" si="45"/>
        <v>154.2350172458361</v>
      </c>
      <c r="L118" s="193">
        <f t="shared" si="45"/>
        <v>168.33209782210551</v>
      </c>
      <c r="M118" s="193">
        <f t="shared" si="45"/>
        <v>183.71765156304593</v>
      </c>
      <c r="N118" s="193">
        <f t="shared" si="45"/>
        <v>200.50944491590832</v>
      </c>
      <c r="O118" s="193">
        <f t="shared" si="45"/>
        <v>218.83600818122233</v>
      </c>
      <c r="P118" s="193">
        <f t="shared" si="45"/>
        <v>238.83761932898602</v>
      </c>
      <c r="Q118" s="193">
        <f t="shared" si="45"/>
        <v>260.66737773565535</v>
      </c>
      <c r="S118" s="7" t="s">
        <v>195</v>
      </c>
      <c r="AA118" s="56"/>
    </row>
    <row r="119" spans="2:27" ht="14.25" customHeight="1" x14ac:dyDescent="0.3">
      <c r="B119" s="7" t="s">
        <v>196</v>
      </c>
      <c r="G119" s="56"/>
      <c r="H119" s="58"/>
      <c r="I119" s="195">
        <f>WACC!$C$13</f>
        <v>9.1400000000000009E-2</v>
      </c>
      <c r="J119" s="195">
        <f>WACC!$C$13</f>
        <v>9.1400000000000009E-2</v>
      </c>
      <c r="K119" s="195">
        <f>WACC!$C$13</f>
        <v>9.1400000000000009E-2</v>
      </c>
      <c r="L119" s="195">
        <f>WACC!$C$13</f>
        <v>9.1400000000000009E-2</v>
      </c>
      <c r="M119" s="195">
        <f>WACC!$C$13</f>
        <v>9.1400000000000009E-2</v>
      </c>
      <c r="N119" s="195">
        <f>WACC!$C$13</f>
        <v>9.1400000000000009E-2</v>
      </c>
      <c r="O119" s="195">
        <f>WACC!$C$13</f>
        <v>9.1400000000000009E-2</v>
      </c>
      <c r="P119" s="195">
        <f>WACC!$C$13</f>
        <v>9.1400000000000009E-2</v>
      </c>
      <c r="Q119" s="195">
        <f>WACC!$C$13</f>
        <v>9.1400000000000009E-2</v>
      </c>
      <c r="S119" s="7" t="s">
        <v>197</v>
      </c>
      <c r="AA119" s="56"/>
    </row>
    <row r="120" spans="2:27" ht="14.25" customHeight="1" x14ac:dyDescent="0.3">
      <c r="G120" s="56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S120" s="196" t="s">
        <v>198</v>
      </c>
      <c r="AA120" s="56"/>
    </row>
    <row r="121" spans="2:27" ht="14.25" customHeight="1" x14ac:dyDescent="0.3">
      <c r="B121" s="35" t="s">
        <v>199</v>
      </c>
      <c r="D121" s="35"/>
      <c r="E121" s="35"/>
      <c r="F121" s="35"/>
      <c r="G121" s="197" t="s">
        <v>200</v>
      </c>
      <c r="H121" s="198">
        <v>10322</v>
      </c>
      <c r="I121" s="131">
        <f t="shared" ref="I121:Q121" ca="1" si="46">H123</f>
        <v>9906.2636579628615</v>
      </c>
      <c r="J121" s="131">
        <f t="shared" ca="1" si="46"/>
        <v>9770.1198024804762</v>
      </c>
      <c r="K121" s="131">
        <f t="shared" ca="1" si="46"/>
        <v>9678.7623052191375</v>
      </c>
      <c r="L121" s="131">
        <f t="shared" ca="1" si="46"/>
        <v>9520.6705540209496</v>
      </c>
      <c r="M121" s="131">
        <f t="shared" ca="1" si="46"/>
        <v>9275.954945481737</v>
      </c>
      <c r="N121" s="131">
        <f t="shared" ca="1" si="46"/>
        <v>8926.5706781899389</v>
      </c>
      <c r="O121" s="131">
        <f t="shared" ca="1" si="46"/>
        <v>8462.3234327554128</v>
      </c>
      <c r="P121" s="131">
        <f t="shared" ca="1" si="46"/>
        <v>7883.8552252496529</v>
      </c>
      <c r="Q121" s="131">
        <f t="shared" ca="1" si="46"/>
        <v>7205.2032850422202</v>
      </c>
      <c r="S121" s="7" t="s">
        <v>201</v>
      </c>
      <c r="AA121" s="56"/>
    </row>
    <row r="122" spans="2:27" ht="14.25" customHeight="1" x14ac:dyDescent="0.3">
      <c r="B122" s="7" t="s">
        <v>202</v>
      </c>
      <c r="G122" s="56"/>
      <c r="H122" s="51">
        <f t="shared" ref="H122:Q122" ca="1" si="47">(H116+H117)/H118</f>
        <v>-415.73634203713857</v>
      </c>
      <c r="I122" s="51">
        <f t="shared" ca="1" si="47"/>
        <v>-136.14385548238619</v>
      </c>
      <c r="J122" s="51">
        <f t="shared" ca="1" si="47"/>
        <v>-91.357497261338878</v>
      </c>
      <c r="K122" s="51">
        <f t="shared" ca="1" si="47"/>
        <v>-158.09175119818801</v>
      </c>
      <c r="L122" s="51">
        <f t="shared" ca="1" si="47"/>
        <v>-244.71560853921338</v>
      </c>
      <c r="M122" s="51">
        <f t="shared" ca="1" si="47"/>
        <v>-349.38426729179719</v>
      </c>
      <c r="N122" s="51">
        <f t="shared" ca="1" si="47"/>
        <v>-464.24724543452692</v>
      </c>
      <c r="O122" s="51">
        <f t="shared" ca="1" si="47"/>
        <v>-578.46820750575989</v>
      </c>
      <c r="P122" s="51">
        <f t="shared" ca="1" si="47"/>
        <v>-678.65194020743297</v>
      </c>
      <c r="Q122" s="51">
        <f t="shared" ca="1" si="47"/>
        <v>-751.12827499343246</v>
      </c>
      <c r="S122" s="7" t="s">
        <v>203</v>
      </c>
      <c r="AA122" s="56"/>
    </row>
    <row r="123" spans="2:27" ht="14.25" customHeight="1" x14ac:dyDescent="0.3">
      <c r="B123" s="7" t="s">
        <v>204</v>
      </c>
      <c r="G123" s="56"/>
      <c r="H123" s="51">
        <f t="shared" ref="H123:Q123" ca="1" si="48">SUM(H121:H122)</f>
        <v>9906.2636579628615</v>
      </c>
      <c r="I123" s="51">
        <f t="shared" ca="1" si="48"/>
        <v>9770.1198024804762</v>
      </c>
      <c r="J123" s="51">
        <f t="shared" ca="1" si="48"/>
        <v>9678.7623052191375</v>
      </c>
      <c r="K123" s="51">
        <f t="shared" ca="1" si="48"/>
        <v>9520.6705540209496</v>
      </c>
      <c r="L123" s="51">
        <f t="shared" ca="1" si="48"/>
        <v>9275.954945481737</v>
      </c>
      <c r="M123" s="51">
        <f t="shared" ca="1" si="48"/>
        <v>8926.5706781899389</v>
      </c>
      <c r="N123" s="51">
        <f t="shared" ca="1" si="48"/>
        <v>8462.3234327554128</v>
      </c>
      <c r="O123" s="51">
        <f t="shared" ca="1" si="48"/>
        <v>7883.8552252496529</v>
      </c>
      <c r="P123" s="51">
        <f t="shared" ca="1" si="48"/>
        <v>7205.2032850422202</v>
      </c>
      <c r="Q123" s="51">
        <f t="shared" ca="1" si="48"/>
        <v>6454.0750100487876</v>
      </c>
      <c r="S123" s="7" t="s">
        <v>205</v>
      </c>
      <c r="AA123" s="56"/>
    </row>
    <row r="124" spans="2:27" ht="14.25" customHeight="1" x14ac:dyDescent="0.3">
      <c r="B124" s="35" t="s">
        <v>206</v>
      </c>
      <c r="D124" s="35"/>
      <c r="E124" s="35"/>
      <c r="F124" s="35"/>
      <c r="G124" s="199"/>
      <c r="H124" s="131">
        <f t="shared" ref="H124:Q124" ca="1" si="49">AVERAGE(H123,H121)</f>
        <v>10114.13182898143</v>
      </c>
      <c r="I124" s="131">
        <f t="shared" ca="1" si="49"/>
        <v>9838.191730221668</v>
      </c>
      <c r="J124" s="131">
        <f t="shared" ca="1" si="49"/>
        <v>9724.4410538498068</v>
      </c>
      <c r="K124" s="131">
        <f t="shared" ca="1" si="49"/>
        <v>9599.7164296200426</v>
      </c>
      <c r="L124" s="131">
        <f t="shared" ca="1" si="49"/>
        <v>9398.3127497513433</v>
      </c>
      <c r="M124" s="131">
        <f t="shared" ca="1" si="49"/>
        <v>9101.2628118358371</v>
      </c>
      <c r="N124" s="131">
        <f t="shared" ca="1" si="49"/>
        <v>8694.4470554726759</v>
      </c>
      <c r="O124" s="131">
        <f t="shared" ca="1" si="49"/>
        <v>8173.0893290025324</v>
      </c>
      <c r="P124" s="131">
        <f t="shared" ca="1" si="49"/>
        <v>7544.529255145937</v>
      </c>
      <c r="Q124" s="131">
        <f t="shared" ca="1" si="49"/>
        <v>6829.6391475455039</v>
      </c>
      <c r="S124" s="7" t="s">
        <v>207</v>
      </c>
      <c r="AA124" s="56"/>
    </row>
    <row r="125" spans="2:27" ht="14.25" customHeight="1" x14ac:dyDescent="0.3"/>
    <row r="126" spans="2:27" ht="14.25" customHeight="1" x14ac:dyDescent="0.3"/>
    <row r="127" spans="2:27" ht="14.25" customHeight="1" x14ac:dyDescent="0.3"/>
    <row r="128" spans="2:27" ht="14.25" customHeight="1" x14ac:dyDescent="0.3"/>
    <row r="129" spans="7:7" ht="14.25" customHeight="1" x14ac:dyDescent="0.3"/>
    <row r="130" spans="7:7" ht="14.25" customHeight="1" x14ac:dyDescent="0.3"/>
    <row r="131" spans="7:7" ht="14.25" customHeight="1" x14ac:dyDescent="0.3">
      <c r="G131" s="200"/>
    </row>
    <row r="132" spans="7:7" ht="14.25" customHeight="1" x14ac:dyDescent="0.3"/>
    <row r="133" spans="7:7" ht="14.25" customHeight="1" x14ac:dyDescent="0.3"/>
    <row r="134" spans="7:7" ht="14.25" customHeight="1" x14ac:dyDescent="0.3"/>
    <row r="135" spans="7:7" ht="14.25" customHeight="1" x14ac:dyDescent="0.3"/>
    <row r="136" spans="7:7" ht="14.25" customHeight="1" x14ac:dyDescent="0.3"/>
    <row r="137" spans="7:7" ht="14.25" customHeight="1" x14ac:dyDescent="0.3"/>
    <row r="138" spans="7:7" ht="14.25" customHeight="1" x14ac:dyDescent="0.3"/>
    <row r="139" spans="7:7" ht="14.25" customHeight="1" x14ac:dyDescent="0.3"/>
    <row r="140" spans="7:7" ht="14.25" customHeight="1" x14ac:dyDescent="0.3"/>
    <row r="141" spans="7:7" ht="14.25" customHeight="1" x14ac:dyDescent="0.3"/>
    <row r="142" spans="7:7" ht="14.25" customHeight="1" x14ac:dyDescent="0.3"/>
    <row r="143" spans="7:7" ht="14.25" customHeight="1" x14ac:dyDescent="0.3"/>
    <row r="144" spans="7:7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conditionalFormatting sqref="B11">
    <cfRule type="expression" dxfId="1" priority="1">
      <formula>#REF!=#REF!</formula>
    </cfRule>
  </conditionalFormatting>
  <conditionalFormatting sqref="B36 B41 B46">
    <cfRule type="expression" dxfId="0" priority="2">
      <formula>#REF!=#REF!</formula>
    </cfRule>
  </conditionalFormatting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58"/>
  <sheetViews>
    <sheetView showGridLines="0" workbookViewId="0"/>
  </sheetViews>
  <sheetFormatPr defaultColWidth="14.44140625" defaultRowHeight="15" customHeight="1" x14ac:dyDescent="0.3"/>
  <cols>
    <col min="1" max="1" width="43.109375" customWidth="1"/>
    <col min="2" max="6" width="13.109375" customWidth="1"/>
    <col min="7" max="7" width="2" customWidth="1"/>
    <col min="8" max="12" width="9.21875" customWidth="1"/>
    <col min="13" max="13" width="12.77734375" customWidth="1"/>
    <col min="14" max="14" width="12.5546875" customWidth="1"/>
    <col min="15" max="15" width="12" customWidth="1"/>
    <col min="16" max="16" width="2" customWidth="1"/>
    <col min="17" max="17" width="8.77734375" customWidth="1"/>
    <col min="18" max="18" width="9" customWidth="1"/>
    <col min="19" max="19" width="8.77734375" customWidth="1"/>
    <col min="20" max="20" width="9.21875" customWidth="1"/>
    <col min="21" max="21" width="12.77734375" customWidth="1"/>
    <col min="22" max="22" width="12.5546875" customWidth="1"/>
    <col min="23" max="23" width="12" customWidth="1"/>
  </cols>
  <sheetData>
    <row r="1" spans="1:24" ht="15" customHeight="1" x14ac:dyDescent="0.3">
      <c r="M1" s="146">
        <f>(L12-O12)/2</f>
        <v>8.7847815098614432E-3</v>
      </c>
      <c r="T1" s="146"/>
    </row>
    <row r="2" spans="1:24" ht="15" customHeight="1" x14ac:dyDescent="0.3">
      <c r="I2" s="146"/>
      <c r="T2" s="201"/>
      <c r="U2" s="201"/>
    </row>
    <row r="3" spans="1:24" ht="14.4" x14ac:dyDescent="0.3">
      <c r="A3" s="35" t="s">
        <v>14</v>
      </c>
      <c r="H3" s="299" t="s">
        <v>208</v>
      </c>
      <c r="I3" s="300"/>
      <c r="J3" s="300"/>
      <c r="K3" s="300"/>
      <c r="L3" s="300"/>
      <c r="M3" s="300"/>
      <c r="N3" s="300"/>
      <c r="O3" s="300"/>
      <c r="Q3" s="299" t="s">
        <v>209</v>
      </c>
      <c r="R3" s="300"/>
      <c r="S3" s="300"/>
      <c r="T3" s="300"/>
      <c r="U3" s="300"/>
      <c r="V3" s="300"/>
      <c r="W3" s="300"/>
    </row>
    <row r="4" spans="1:24" ht="14.4" x14ac:dyDescent="0.3">
      <c r="A4" s="82" t="s">
        <v>15</v>
      </c>
      <c r="B4" s="202">
        <v>2018</v>
      </c>
      <c r="C4" s="202">
        <f t="shared" ref="C4:F4" si="0">B4+1</f>
        <v>2019</v>
      </c>
      <c r="D4" s="202">
        <f t="shared" si="0"/>
        <v>2020</v>
      </c>
      <c r="E4" s="202">
        <f t="shared" si="0"/>
        <v>2021</v>
      </c>
      <c r="F4" s="202">
        <f t="shared" si="0"/>
        <v>2022</v>
      </c>
      <c r="G4" s="14"/>
      <c r="H4" s="202">
        <v>2018</v>
      </c>
      <c r="I4" s="202">
        <f t="shared" ref="I4:L4" si="1">H4+1</f>
        <v>2019</v>
      </c>
      <c r="J4" s="202">
        <f t="shared" si="1"/>
        <v>2020</v>
      </c>
      <c r="K4" s="202">
        <f t="shared" si="1"/>
        <v>2021</v>
      </c>
      <c r="L4" s="202">
        <f t="shared" si="1"/>
        <v>2022</v>
      </c>
      <c r="M4" s="202" t="s">
        <v>210</v>
      </c>
      <c r="N4" s="202" t="s">
        <v>211</v>
      </c>
      <c r="O4" s="202" t="s">
        <v>212</v>
      </c>
      <c r="P4" s="14"/>
      <c r="Q4" s="202">
        <v>2019</v>
      </c>
      <c r="R4" s="202">
        <v>2020</v>
      </c>
      <c r="S4" s="202">
        <v>2021</v>
      </c>
      <c r="T4" s="202">
        <v>2022</v>
      </c>
      <c r="U4" s="202" t="s">
        <v>210</v>
      </c>
      <c r="V4" s="202" t="s">
        <v>211</v>
      </c>
      <c r="W4" s="202" t="s">
        <v>212</v>
      </c>
    </row>
    <row r="5" spans="1:24" ht="14.4" x14ac:dyDescent="0.3">
      <c r="A5" s="17" t="s">
        <v>16</v>
      </c>
      <c r="B5" s="18">
        <f t="shared" ref="B5:D5" si="2">EOMONTH(C5,-12)</f>
        <v>43465</v>
      </c>
      <c r="C5" s="18">
        <f t="shared" si="2"/>
        <v>43830</v>
      </c>
      <c r="D5" s="18">
        <f t="shared" si="2"/>
        <v>44196</v>
      </c>
      <c r="E5" s="18">
        <v>44561</v>
      </c>
      <c r="F5" s="18">
        <v>44926</v>
      </c>
      <c r="G5" s="22"/>
      <c r="H5" s="18">
        <f t="shared" ref="H5:J5" si="3">EOMONTH(I5,-12)</f>
        <v>43465</v>
      </c>
      <c r="I5" s="18">
        <f t="shared" si="3"/>
        <v>43830</v>
      </c>
      <c r="J5" s="18">
        <f t="shared" si="3"/>
        <v>44196</v>
      </c>
      <c r="K5" s="18">
        <v>44561</v>
      </c>
      <c r="L5" s="18">
        <v>44926</v>
      </c>
      <c r="M5" s="13"/>
      <c r="N5" s="13"/>
      <c r="O5" s="13"/>
      <c r="P5" s="22"/>
      <c r="Q5" s="18">
        <f t="shared" ref="Q5:S5" si="4">EOMONTH(R5,-12)</f>
        <v>43830</v>
      </c>
      <c r="R5" s="18">
        <f t="shared" si="4"/>
        <v>44196</v>
      </c>
      <c r="S5" s="18">
        <f t="shared" si="4"/>
        <v>44561</v>
      </c>
      <c r="T5" s="18">
        <v>44926</v>
      </c>
      <c r="U5" s="18"/>
      <c r="V5" s="13"/>
      <c r="W5" s="13"/>
    </row>
    <row r="6" spans="1:24" ht="14.4" x14ac:dyDescent="0.3">
      <c r="A6" s="20"/>
      <c r="B6" s="21"/>
      <c r="C6" s="21"/>
      <c r="D6" s="21"/>
      <c r="E6" s="22"/>
      <c r="F6" s="22"/>
    </row>
    <row r="7" spans="1:24" ht="14.4" x14ac:dyDescent="0.3">
      <c r="A7" s="7" t="s">
        <v>17</v>
      </c>
      <c r="B7" s="203">
        <v>141915</v>
      </c>
      <c r="C7" s="203">
        <v>160408</v>
      </c>
      <c r="D7" s="203">
        <v>215915</v>
      </c>
      <c r="E7" s="203">
        <v>241787</v>
      </c>
      <c r="F7" s="203">
        <v>242901</v>
      </c>
      <c r="G7" s="146"/>
      <c r="H7" s="146">
        <f t="shared" ref="H7:L7" si="5">B7/B$9</f>
        <v>0.60937278594339739</v>
      </c>
      <c r="I7" s="146">
        <f t="shared" si="5"/>
        <v>0.57181967902695685</v>
      </c>
      <c r="J7" s="146">
        <f t="shared" si="5"/>
        <v>0.55927255584566293</v>
      </c>
      <c r="K7" s="146">
        <f t="shared" si="5"/>
        <v>0.51463532997603345</v>
      </c>
      <c r="L7" s="146">
        <f t="shared" si="5"/>
        <v>0.47258566917582878</v>
      </c>
      <c r="M7" s="146">
        <f t="shared" ref="M7:M24" si="6">MAX(H7:L7)</f>
        <v>0.60937278594339739</v>
      </c>
      <c r="N7" s="146">
        <f t="shared" ref="N7:N24" si="7">MIN(H7:L7)</f>
        <v>0.47258566917582878</v>
      </c>
      <c r="O7" s="146">
        <f t="shared" ref="O7:O24" si="8">AVERAGE(H7:L7)</f>
        <v>0.54553720399357586</v>
      </c>
      <c r="P7" s="146"/>
      <c r="Q7" s="146">
        <f t="shared" ref="Q7:T7" si="9">C7/B7-1</f>
        <v>0.13031039706866787</v>
      </c>
      <c r="R7" s="146">
        <f t="shared" si="9"/>
        <v>0.34603635728891335</v>
      </c>
      <c r="S7" s="146">
        <f t="shared" si="9"/>
        <v>0.11982493110714865</v>
      </c>
      <c r="T7" s="146">
        <f t="shared" si="9"/>
        <v>4.6073610243726471E-3</v>
      </c>
      <c r="U7" s="146">
        <f t="shared" ref="U7:U24" si="10">MAX(Q7:T7)</f>
        <v>0.34603635728891335</v>
      </c>
      <c r="V7" s="146">
        <f t="shared" ref="V7:V24" si="11">MIN(Q7:U7)</f>
        <v>4.6073610243726471E-3</v>
      </c>
      <c r="W7" s="146">
        <f t="shared" ref="W7:W24" si="12">AVERAGE(Q7:T7)</f>
        <v>0.15019476162227563</v>
      </c>
    </row>
    <row r="8" spans="1:24" ht="14.4" x14ac:dyDescent="0.3">
      <c r="A8" s="7" t="s">
        <v>20</v>
      </c>
      <c r="B8" s="203">
        <v>90972</v>
      </c>
      <c r="C8" s="203">
        <v>120114</v>
      </c>
      <c r="D8" s="203">
        <v>170149</v>
      </c>
      <c r="E8" s="203">
        <v>228035</v>
      </c>
      <c r="F8" s="203">
        <v>271082</v>
      </c>
      <c r="G8" s="146"/>
      <c r="H8" s="146">
        <f t="shared" ref="H8:L8" si="13">B8/B$9</f>
        <v>0.39062721405660256</v>
      </c>
      <c r="I8" s="146">
        <f t="shared" si="13"/>
        <v>0.42818032097304309</v>
      </c>
      <c r="J8" s="146">
        <f t="shared" si="13"/>
        <v>0.44072744415433712</v>
      </c>
      <c r="K8" s="146">
        <f t="shared" si="13"/>
        <v>0.48536467002396655</v>
      </c>
      <c r="L8" s="146">
        <f t="shared" si="13"/>
        <v>0.52741433082417122</v>
      </c>
      <c r="M8" s="146">
        <f t="shared" si="6"/>
        <v>0.52741433082417122</v>
      </c>
      <c r="N8" s="146">
        <f t="shared" si="7"/>
        <v>0.39062721405660256</v>
      </c>
      <c r="O8" s="146">
        <f t="shared" si="8"/>
        <v>0.45446279600642414</v>
      </c>
      <c r="P8" s="146"/>
      <c r="Q8" s="146">
        <f t="shared" ref="Q8:T8" si="14">C8/B8-1</f>
        <v>0.32034032449544925</v>
      </c>
      <c r="R8" s="146">
        <f t="shared" si="14"/>
        <v>0.41656259886441216</v>
      </c>
      <c r="S8" s="146">
        <f t="shared" si="14"/>
        <v>0.34020770030972858</v>
      </c>
      <c r="T8" s="146">
        <f t="shared" si="14"/>
        <v>0.18877365316727701</v>
      </c>
      <c r="U8" s="146">
        <f t="shared" si="10"/>
        <v>0.41656259886441216</v>
      </c>
      <c r="V8" s="146">
        <f t="shared" si="11"/>
        <v>0.18877365316727701</v>
      </c>
      <c r="W8" s="146">
        <f t="shared" si="12"/>
        <v>0.31647106920921675</v>
      </c>
    </row>
    <row r="9" spans="1:24" ht="14.4" x14ac:dyDescent="0.3">
      <c r="A9" s="35" t="s">
        <v>23</v>
      </c>
      <c r="B9" s="40">
        <f t="shared" ref="B9:F9" si="15">SUM(B7:B8)</f>
        <v>232887</v>
      </c>
      <c r="C9" s="40">
        <f t="shared" si="15"/>
        <v>280522</v>
      </c>
      <c r="D9" s="40">
        <f t="shared" si="15"/>
        <v>386064</v>
      </c>
      <c r="E9" s="40">
        <f t="shared" si="15"/>
        <v>469822</v>
      </c>
      <c r="F9" s="40">
        <f t="shared" si="15"/>
        <v>513983</v>
      </c>
      <c r="G9" s="146"/>
      <c r="H9" s="146">
        <f t="shared" ref="H9:L9" si="16">B9/B$9</f>
        <v>1</v>
      </c>
      <c r="I9" s="146">
        <f t="shared" si="16"/>
        <v>1</v>
      </c>
      <c r="J9" s="146">
        <f t="shared" si="16"/>
        <v>1</v>
      </c>
      <c r="K9" s="146">
        <f t="shared" si="16"/>
        <v>1</v>
      </c>
      <c r="L9" s="146">
        <f t="shared" si="16"/>
        <v>1</v>
      </c>
      <c r="M9" s="146">
        <f t="shared" si="6"/>
        <v>1</v>
      </c>
      <c r="N9" s="146">
        <f t="shared" si="7"/>
        <v>1</v>
      </c>
      <c r="O9" s="146">
        <f t="shared" si="8"/>
        <v>1</v>
      </c>
      <c r="P9" s="146"/>
      <c r="Q9" s="146">
        <f t="shared" ref="Q9:T9" si="17">C9/B9-1</f>
        <v>0.20454125820676983</v>
      </c>
      <c r="R9" s="146">
        <f t="shared" si="17"/>
        <v>0.37623430604373276</v>
      </c>
      <c r="S9" s="146">
        <f t="shared" si="17"/>
        <v>0.21695366571345676</v>
      </c>
      <c r="T9" s="146">
        <f t="shared" si="17"/>
        <v>9.399517263985091E-2</v>
      </c>
      <c r="U9" s="146">
        <f t="shared" si="10"/>
        <v>0.37623430604373276</v>
      </c>
      <c r="V9" s="146">
        <f t="shared" si="11"/>
        <v>9.399517263985091E-2</v>
      </c>
      <c r="W9" s="146">
        <f t="shared" si="12"/>
        <v>0.22293110065095256</v>
      </c>
      <c r="X9" s="146"/>
    </row>
    <row r="10" spans="1:24" ht="14.4" x14ac:dyDescent="0.3">
      <c r="A10" s="7" t="s">
        <v>26</v>
      </c>
      <c r="B10" s="48">
        <v>139156</v>
      </c>
      <c r="C10" s="48">
        <v>165536</v>
      </c>
      <c r="D10" s="48">
        <v>233307</v>
      </c>
      <c r="E10" s="48">
        <v>272344</v>
      </c>
      <c r="F10" s="48">
        <v>288831</v>
      </c>
      <c r="G10" s="146"/>
      <c r="H10" s="146">
        <f t="shared" ref="H10:L10" si="18">B10/B$9</f>
        <v>0.59752583871147813</v>
      </c>
      <c r="I10" s="146">
        <f t="shared" si="18"/>
        <v>0.59009988521399392</v>
      </c>
      <c r="J10" s="146">
        <f t="shared" si="18"/>
        <v>0.60432208131294296</v>
      </c>
      <c r="K10" s="146">
        <f t="shared" si="18"/>
        <v>0.57967485558360399</v>
      </c>
      <c r="L10" s="146">
        <f t="shared" si="18"/>
        <v>0.56194660134673713</v>
      </c>
      <c r="M10" s="146">
        <f t="shared" si="6"/>
        <v>0.60432208131294296</v>
      </c>
      <c r="N10" s="146">
        <f t="shared" si="7"/>
        <v>0.56194660134673713</v>
      </c>
      <c r="O10" s="146">
        <f t="shared" si="8"/>
        <v>0.58671385243375118</v>
      </c>
      <c r="P10" s="146"/>
      <c r="Q10" s="146">
        <f t="shared" ref="Q10:T10" si="19">C10/B10-1</f>
        <v>0.1895714162522637</v>
      </c>
      <c r="R10" s="146">
        <f t="shared" si="19"/>
        <v>0.40940339261550363</v>
      </c>
      <c r="S10" s="146">
        <f t="shared" si="19"/>
        <v>0.16732031186376739</v>
      </c>
      <c r="T10" s="146">
        <f t="shared" si="19"/>
        <v>6.0537408571512463E-2</v>
      </c>
      <c r="U10" s="146">
        <f t="shared" si="10"/>
        <v>0.40940339261550363</v>
      </c>
      <c r="V10" s="146">
        <f t="shared" si="11"/>
        <v>6.0537408571512463E-2</v>
      </c>
      <c r="W10" s="146">
        <f t="shared" si="12"/>
        <v>0.2067081323257618</v>
      </c>
    </row>
    <row r="11" spans="1:24" ht="14.4" x14ac:dyDescent="0.3">
      <c r="A11" s="35" t="s">
        <v>27</v>
      </c>
      <c r="B11" s="40">
        <f t="shared" ref="B11:F11" si="20">B9-B10</f>
        <v>93731</v>
      </c>
      <c r="C11" s="40">
        <f t="shared" si="20"/>
        <v>114986</v>
      </c>
      <c r="D11" s="40">
        <f t="shared" si="20"/>
        <v>152757</v>
      </c>
      <c r="E11" s="40">
        <f t="shared" si="20"/>
        <v>197478</v>
      </c>
      <c r="F11" s="40">
        <f t="shared" si="20"/>
        <v>225152</v>
      </c>
      <c r="G11" s="146"/>
      <c r="H11" s="146">
        <f t="shared" ref="H11:L11" si="21">B11/B$9</f>
        <v>0.40247416128852193</v>
      </c>
      <c r="I11" s="146">
        <f t="shared" si="21"/>
        <v>0.40990011478600608</v>
      </c>
      <c r="J11" s="146">
        <f t="shared" si="21"/>
        <v>0.3956779186870571</v>
      </c>
      <c r="K11" s="146">
        <f t="shared" si="21"/>
        <v>0.42032514441639601</v>
      </c>
      <c r="L11" s="146">
        <f t="shared" si="21"/>
        <v>0.43805339865326287</v>
      </c>
      <c r="M11" s="146">
        <f t="shared" si="6"/>
        <v>0.43805339865326287</v>
      </c>
      <c r="N11" s="146">
        <f t="shared" si="7"/>
        <v>0.3956779186870571</v>
      </c>
      <c r="O11" s="146">
        <f t="shared" si="8"/>
        <v>0.41328614756624882</v>
      </c>
      <c r="P11" s="146"/>
      <c r="Q11" s="146">
        <f t="shared" ref="Q11:T11" si="22">C11/B11-1</f>
        <v>0.22676595790080123</v>
      </c>
      <c r="R11" s="146">
        <f t="shared" si="22"/>
        <v>0.32848346755257163</v>
      </c>
      <c r="S11" s="146">
        <f t="shared" si="22"/>
        <v>0.2927590879632358</v>
      </c>
      <c r="T11" s="146">
        <f t="shared" si="22"/>
        <v>0.14013712919920196</v>
      </c>
      <c r="U11" s="146">
        <f t="shared" si="10"/>
        <v>0.32848346755257163</v>
      </c>
      <c r="V11" s="146">
        <f t="shared" si="11"/>
        <v>0.14013712919920196</v>
      </c>
      <c r="W11" s="146">
        <f t="shared" si="12"/>
        <v>0.24703641065395265</v>
      </c>
    </row>
    <row r="12" spans="1:24" ht="14.4" x14ac:dyDescent="0.3">
      <c r="A12" s="7" t="s">
        <v>29</v>
      </c>
      <c r="B12" s="48">
        <v>28837</v>
      </c>
      <c r="C12" s="48">
        <v>35931</v>
      </c>
      <c r="D12" s="48">
        <v>42740</v>
      </c>
      <c r="E12" s="48">
        <v>56052</v>
      </c>
      <c r="F12" s="48">
        <v>73213</v>
      </c>
      <c r="G12" s="146"/>
      <c r="H12" s="146">
        <f t="shared" ref="H12:L12" si="23">B12/B$9</f>
        <v>0.12382400048091993</v>
      </c>
      <c r="I12" s="146">
        <f t="shared" si="23"/>
        <v>0.12808621070718162</v>
      </c>
      <c r="J12" s="146">
        <f t="shared" si="23"/>
        <v>0.11070703303079282</v>
      </c>
      <c r="K12" s="146">
        <f t="shared" si="23"/>
        <v>0.11930475797216818</v>
      </c>
      <c r="L12" s="146">
        <f t="shared" si="23"/>
        <v>0.14244245432241923</v>
      </c>
      <c r="M12" s="146">
        <f t="shared" si="6"/>
        <v>0.14244245432241923</v>
      </c>
      <c r="N12" s="146">
        <f t="shared" si="7"/>
        <v>0.11070703303079282</v>
      </c>
      <c r="O12" s="146">
        <f t="shared" si="8"/>
        <v>0.12487289130269634</v>
      </c>
      <c r="P12" s="146"/>
      <c r="Q12" s="146">
        <f t="shared" ref="Q12:T12" si="24">C12/B12-1</f>
        <v>0.24600339841176266</v>
      </c>
      <c r="R12" s="146">
        <f t="shared" si="24"/>
        <v>0.18950210124961742</v>
      </c>
      <c r="S12" s="146">
        <f t="shared" si="24"/>
        <v>0.31146467009826861</v>
      </c>
      <c r="T12" s="146">
        <f t="shared" si="24"/>
        <v>0.3061621351602084</v>
      </c>
      <c r="U12" s="146">
        <f t="shared" si="10"/>
        <v>0.31146467009826861</v>
      </c>
      <c r="V12" s="146">
        <f t="shared" si="11"/>
        <v>0.18950210124961742</v>
      </c>
      <c r="W12" s="146">
        <f t="shared" si="12"/>
        <v>0.26328307622996427</v>
      </c>
    </row>
    <row r="13" spans="1:24" ht="14.4" x14ac:dyDescent="0.3">
      <c r="A13" s="7" t="s">
        <v>31</v>
      </c>
      <c r="B13" s="48">
        <v>4336</v>
      </c>
      <c r="C13" s="48">
        <v>5203</v>
      </c>
      <c r="D13" s="48">
        <v>6668</v>
      </c>
      <c r="E13" s="48">
        <v>8823</v>
      </c>
      <c r="F13" s="48">
        <v>11891</v>
      </c>
      <c r="G13" s="146"/>
      <c r="H13" s="146">
        <f t="shared" ref="H13:L13" si="25">B13/B$9</f>
        <v>1.8618471619283171E-2</v>
      </c>
      <c r="I13" s="146">
        <f t="shared" si="25"/>
        <v>1.8547564896870834E-2</v>
      </c>
      <c r="J13" s="146">
        <f t="shared" si="25"/>
        <v>1.7271747689502258E-2</v>
      </c>
      <c r="K13" s="146">
        <f t="shared" si="25"/>
        <v>1.8779452643767215E-2</v>
      </c>
      <c r="L13" s="146">
        <f t="shared" si="25"/>
        <v>2.3135006410717866E-2</v>
      </c>
      <c r="M13" s="146">
        <f t="shared" si="6"/>
        <v>2.3135006410717866E-2</v>
      </c>
      <c r="N13" s="146">
        <f t="shared" si="7"/>
        <v>1.7271747689502258E-2</v>
      </c>
      <c r="O13" s="146">
        <f t="shared" si="8"/>
        <v>1.9270448652028267E-2</v>
      </c>
      <c r="P13" s="146"/>
      <c r="Q13" s="146">
        <f t="shared" ref="Q13:T13" si="26">C13/B13-1</f>
        <v>0.19995387453874547</v>
      </c>
      <c r="R13" s="146">
        <f t="shared" si="26"/>
        <v>0.28156832596578907</v>
      </c>
      <c r="S13" s="146">
        <f t="shared" si="26"/>
        <v>0.32318536292741462</v>
      </c>
      <c r="T13" s="146">
        <f t="shared" si="26"/>
        <v>0.34772753031848569</v>
      </c>
      <c r="U13" s="146">
        <f t="shared" si="10"/>
        <v>0.34772753031848569</v>
      </c>
      <c r="V13" s="146">
        <f t="shared" si="11"/>
        <v>0.19995387453874547</v>
      </c>
      <c r="W13" s="146">
        <f t="shared" si="12"/>
        <v>0.28810877343760871</v>
      </c>
    </row>
    <row r="14" spans="1:24" ht="14.4" x14ac:dyDescent="0.3">
      <c r="A14" s="7" t="s">
        <v>32</v>
      </c>
      <c r="B14" s="48">
        <v>34027</v>
      </c>
      <c r="C14" s="48">
        <v>40232</v>
      </c>
      <c r="D14" s="48">
        <v>58517</v>
      </c>
      <c r="E14" s="48">
        <v>75111</v>
      </c>
      <c r="F14" s="48">
        <v>84299</v>
      </c>
      <c r="G14" s="146"/>
      <c r="H14" s="146">
        <f t="shared" ref="H14:L14" si="27">B14/B$9</f>
        <v>0.14610948657503425</v>
      </c>
      <c r="I14" s="146">
        <f t="shared" si="27"/>
        <v>0.14341834152045116</v>
      </c>
      <c r="J14" s="146">
        <f t="shared" si="27"/>
        <v>0.15157331426913673</v>
      </c>
      <c r="K14" s="146">
        <f t="shared" si="27"/>
        <v>0.15987118525739535</v>
      </c>
      <c r="L14" s="146">
        <f t="shared" si="27"/>
        <v>0.16401126107283703</v>
      </c>
      <c r="M14" s="146">
        <f t="shared" si="6"/>
        <v>0.16401126107283703</v>
      </c>
      <c r="N14" s="146">
        <f t="shared" si="7"/>
        <v>0.14341834152045116</v>
      </c>
      <c r="O14" s="146">
        <f t="shared" si="8"/>
        <v>0.15299671773897089</v>
      </c>
      <c r="P14" s="146"/>
      <c r="Q14" s="146">
        <f t="shared" ref="Q14:T14" si="28">C14/B14-1</f>
        <v>0.18235518852675825</v>
      </c>
      <c r="R14" s="146">
        <f t="shared" si="28"/>
        <v>0.45448896400874927</v>
      </c>
      <c r="S14" s="146">
        <f t="shared" si="28"/>
        <v>0.28357571304065488</v>
      </c>
      <c r="T14" s="146">
        <f t="shared" si="28"/>
        <v>0.12232562474204833</v>
      </c>
      <c r="U14" s="146">
        <f t="shared" si="10"/>
        <v>0.45448896400874927</v>
      </c>
      <c r="V14" s="146">
        <f t="shared" si="11"/>
        <v>0.12232562474204833</v>
      </c>
      <c r="W14" s="146">
        <f t="shared" si="12"/>
        <v>0.26068637257955268</v>
      </c>
    </row>
    <row r="15" spans="1:24" ht="14.4" x14ac:dyDescent="0.3">
      <c r="A15" s="7" t="s">
        <v>33</v>
      </c>
      <c r="B15" s="48">
        <v>13814</v>
      </c>
      <c r="C15" s="48">
        <v>18878</v>
      </c>
      <c r="D15" s="48">
        <v>22008</v>
      </c>
      <c r="E15" s="48">
        <v>32551</v>
      </c>
      <c r="F15" s="48">
        <v>42238</v>
      </c>
      <c r="G15" s="146"/>
      <c r="H15" s="146">
        <f t="shared" ref="H15:L15" si="29">B15/B$9</f>
        <v>5.9316320790769775E-2</v>
      </c>
      <c r="I15" s="146">
        <f t="shared" si="29"/>
        <v>6.7295969656568824E-2</v>
      </c>
      <c r="J15" s="146">
        <f t="shared" si="29"/>
        <v>5.7006092254134028E-2</v>
      </c>
      <c r="K15" s="146">
        <f t="shared" si="29"/>
        <v>6.9283686161993263E-2</v>
      </c>
      <c r="L15" s="146">
        <f t="shared" si="29"/>
        <v>8.2177815219569517E-2</v>
      </c>
      <c r="M15" s="146">
        <f t="shared" si="6"/>
        <v>8.2177815219569517E-2</v>
      </c>
      <c r="N15" s="146">
        <f t="shared" si="7"/>
        <v>5.7006092254134028E-2</v>
      </c>
      <c r="O15" s="146">
        <f t="shared" si="8"/>
        <v>6.7015976816607079E-2</v>
      </c>
      <c r="P15" s="146"/>
      <c r="Q15" s="146">
        <f t="shared" ref="Q15:T15" si="30">C15/B15-1</f>
        <v>0.36658462429419436</v>
      </c>
      <c r="R15" s="146">
        <f t="shared" si="30"/>
        <v>0.16580146201928181</v>
      </c>
      <c r="S15" s="146">
        <f t="shared" si="30"/>
        <v>0.47905307161032362</v>
      </c>
      <c r="T15" s="146">
        <f t="shared" si="30"/>
        <v>0.29759454394642249</v>
      </c>
      <c r="U15" s="146">
        <f t="shared" si="10"/>
        <v>0.47905307161032362</v>
      </c>
      <c r="V15" s="146">
        <f t="shared" si="11"/>
        <v>0.16580146201928181</v>
      </c>
      <c r="W15" s="146">
        <f t="shared" si="12"/>
        <v>0.32725842546755557</v>
      </c>
    </row>
    <row r="16" spans="1:24" ht="14.4" x14ac:dyDescent="0.3">
      <c r="A16" s="7" t="s">
        <v>34</v>
      </c>
      <c r="B16" s="48">
        <v>296</v>
      </c>
      <c r="C16" s="48">
        <v>201</v>
      </c>
      <c r="D16" s="48">
        <v>-75</v>
      </c>
      <c r="E16" s="48">
        <v>62</v>
      </c>
      <c r="F16" s="48">
        <v>1263</v>
      </c>
      <c r="G16" s="146"/>
      <c r="H16" s="146">
        <f t="shared" ref="H16:L16" si="31">B16/B$9</f>
        <v>1.271002675117117E-3</v>
      </c>
      <c r="I16" s="146">
        <f t="shared" si="31"/>
        <v>7.1652134235461028E-4</v>
      </c>
      <c r="J16" s="146">
        <f t="shared" si="31"/>
        <v>-1.9426830784533136E-4</v>
      </c>
      <c r="K16" s="146">
        <f t="shared" si="31"/>
        <v>1.3196487180251244E-4</v>
      </c>
      <c r="L16" s="146">
        <f t="shared" si="31"/>
        <v>2.4572797154769712E-3</v>
      </c>
      <c r="M16" s="146">
        <f t="shared" si="6"/>
        <v>2.4572797154769712E-3</v>
      </c>
      <c r="N16" s="146">
        <f t="shared" si="7"/>
        <v>-1.9426830784533136E-4</v>
      </c>
      <c r="O16" s="146">
        <f t="shared" si="8"/>
        <v>8.7650005938117587E-4</v>
      </c>
      <c r="P16" s="146"/>
      <c r="Q16" s="146">
        <f t="shared" ref="Q16:T16" si="32">C16/B16-1</f>
        <v>-0.32094594594594594</v>
      </c>
      <c r="R16" s="146">
        <f t="shared" si="32"/>
        <v>-1.3731343283582089</v>
      </c>
      <c r="S16" s="146">
        <f t="shared" si="32"/>
        <v>-1.8266666666666667</v>
      </c>
      <c r="T16" s="146">
        <f t="shared" si="32"/>
        <v>19.370967741935484</v>
      </c>
      <c r="U16" s="146">
        <f t="shared" si="10"/>
        <v>19.370967741935484</v>
      </c>
      <c r="V16" s="146">
        <f t="shared" si="11"/>
        <v>-1.8266666666666667</v>
      </c>
      <c r="W16" s="146">
        <f t="shared" si="12"/>
        <v>3.9625552002411655</v>
      </c>
    </row>
    <row r="17" spans="1:23" ht="14.4" x14ac:dyDescent="0.3">
      <c r="A17" s="35" t="s">
        <v>36</v>
      </c>
      <c r="B17" s="40">
        <f t="shared" ref="B17:F17" si="33">B11-B12-B13-B14-B15-B16</f>
        <v>12421</v>
      </c>
      <c r="C17" s="40">
        <f t="shared" si="33"/>
        <v>14541</v>
      </c>
      <c r="D17" s="40">
        <f t="shared" si="33"/>
        <v>22899</v>
      </c>
      <c r="E17" s="40">
        <f t="shared" si="33"/>
        <v>24879</v>
      </c>
      <c r="F17" s="40">
        <f t="shared" si="33"/>
        <v>12248</v>
      </c>
      <c r="G17" s="146"/>
      <c r="H17" s="146">
        <f t="shared" ref="H17:L17" si="34">B17/B$9</f>
        <v>5.3334879147397665E-2</v>
      </c>
      <c r="I17" s="146">
        <f t="shared" si="34"/>
        <v>5.1835506662579051E-2</v>
      </c>
      <c r="J17" s="146">
        <f t="shared" si="34"/>
        <v>5.9313999751336569E-2</v>
      </c>
      <c r="K17" s="146">
        <f t="shared" si="34"/>
        <v>5.2954097509269465E-2</v>
      </c>
      <c r="L17" s="146">
        <f t="shared" si="34"/>
        <v>2.3829581912242232E-2</v>
      </c>
      <c r="M17" s="146">
        <f t="shared" si="6"/>
        <v>5.9313999751336569E-2</v>
      </c>
      <c r="N17" s="146">
        <f t="shared" si="7"/>
        <v>2.3829581912242232E-2</v>
      </c>
      <c r="O17" s="146">
        <f t="shared" si="8"/>
        <v>4.8253612996564998E-2</v>
      </c>
      <c r="P17" s="146"/>
      <c r="Q17" s="146">
        <f t="shared" ref="Q17:T17" si="35">C17/B17-1</f>
        <v>0.17067868931648023</v>
      </c>
      <c r="R17" s="146">
        <f t="shared" si="35"/>
        <v>0.57478852898700228</v>
      </c>
      <c r="S17" s="146">
        <f t="shared" si="35"/>
        <v>8.6466657932660729E-2</v>
      </c>
      <c r="T17" s="146">
        <f t="shared" si="35"/>
        <v>-0.50769725471281002</v>
      </c>
      <c r="U17" s="146">
        <f t="shared" si="10"/>
        <v>0.57478852898700228</v>
      </c>
      <c r="V17" s="146">
        <f t="shared" si="11"/>
        <v>-0.50769725471281002</v>
      </c>
      <c r="W17" s="146">
        <f t="shared" si="12"/>
        <v>8.1059155380833303E-2</v>
      </c>
    </row>
    <row r="18" spans="1:23" ht="14.4" x14ac:dyDescent="0.3">
      <c r="A18" s="7" t="s">
        <v>38</v>
      </c>
      <c r="B18" s="48">
        <v>440</v>
      </c>
      <c r="C18" s="48">
        <v>832</v>
      </c>
      <c r="D18" s="48">
        <v>555</v>
      </c>
      <c r="E18" s="48">
        <v>448</v>
      </c>
      <c r="F18" s="48">
        <v>989</v>
      </c>
      <c r="G18" s="146"/>
      <c r="H18" s="146">
        <f t="shared" ref="H18:L18" si="36">B18/B$9</f>
        <v>1.8893283008497683E-3</v>
      </c>
      <c r="I18" s="146">
        <f t="shared" si="36"/>
        <v>2.965899287756397E-3</v>
      </c>
      <c r="J18" s="146">
        <f t="shared" si="36"/>
        <v>1.4375854780554519E-3</v>
      </c>
      <c r="K18" s="146">
        <f t="shared" si="36"/>
        <v>9.5355262205686412E-4</v>
      </c>
      <c r="L18" s="146">
        <f t="shared" si="36"/>
        <v>1.9241881540829171E-3</v>
      </c>
      <c r="M18" s="146">
        <f t="shared" si="6"/>
        <v>2.965899287756397E-3</v>
      </c>
      <c r="N18" s="146">
        <f t="shared" si="7"/>
        <v>9.5355262205686412E-4</v>
      </c>
      <c r="O18" s="146">
        <f t="shared" si="8"/>
        <v>1.83411076856028E-3</v>
      </c>
      <c r="P18" s="146"/>
      <c r="Q18" s="146">
        <f t="shared" ref="Q18:T18" si="37">C18/B18-1</f>
        <v>0.89090909090909087</v>
      </c>
      <c r="R18" s="146">
        <f t="shared" si="37"/>
        <v>-0.33293269230769229</v>
      </c>
      <c r="S18" s="146">
        <f t="shared" si="37"/>
        <v>-0.19279279279279282</v>
      </c>
      <c r="T18" s="146">
        <f t="shared" si="37"/>
        <v>1.2075892857142856</v>
      </c>
      <c r="U18" s="146">
        <f t="shared" si="10"/>
        <v>1.2075892857142856</v>
      </c>
      <c r="V18" s="146">
        <f t="shared" si="11"/>
        <v>-0.33293269230769229</v>
      </c>
      <c r="W18" s="146">
        <f t="shared" si="12"/>
        <v>0.39319322288072284</v>
      </c>
    </row>
    <row r="19" spans="1:23" ht="14.4" x14ac:dyDescent="0.3">
      <c r="A19" s="7" t="s">
        <v>213</v>
      </c>
      <c r="B19" s="48">
        <v>1417</v>
      </c>
      <c r="C19" s="48">
        <v>1600</v>
      </c>
      <c r="D19" s="48">
        <v>1647</v>
      </c>
      <c r="E19" s="48">
        <v>1809</v>
      </c>
      <c r="F19" s="48">
        <v>2367</v>
      </c>
      <c r="G19" s="146"/>
      <c r="H19" s="146">
        <f t="shared" ref="H19:L19" si="38">B19/B$9</f>
        <v>6.0844959143275491E-3</v>
      </c>
      <c r="I19" s="146">
        <f t="shared" si="38"/>
        <v>5.7036524764546093E-3</v>
      </c>
      <c r="J19" s="146">
        <f t="shared" si="38"/>
        <v>4.2661320402834759E-3</v>
      </c>
      <c r="K19" s="146">
        <f t="shared" si="38"/>
        <v>3.8503944046894356E-3</v>
      </c>
      <c r="L19" s="146">
        <f t="shared" si="38"/>
        <v>4.6052106781741811E-3</v>
      </c>
      <c r="M19" s="146">
        <f t="shared" si="6"/>
        <v>6.0844959143275491E-3</v>
      </c>
      <c r="N19" s="146">
        <f t="shared" si="7"/>
        <v>3.8503944046894356E-3</v>
      </c>
      <c r="O19" s="146">
        <f t="shared" si="8"/>
        <v>4.9019771027858502E-3</v>
      </c>
      <c r="P19" s="146"/>
      <c r="Q19" s="146">
        <f t="shared" ref="Q19:T19" si="39">C19/B19-1</f>
        <v>0.1291460832745237</v>
      </c>
      <c r="R19" s="146">
        <f t="shared" si="39"/>
        <v>2.9374999999999929E-2</v>
      </c>
      <c r="S19" s="146">
        <f t="shared" si="39"/>
        <v>9.8360655737705027E-2</v>
      </c>
      <c r="T19" s="146">
        <f t="shared" si="39"/>
        <v>0.308457711442786</v>
      </c>
      <c r="U19" s="146">
        <f t="shared" si="10"/>
        <v>0.308457711442786</v>
      </c>
      <c r="V19" s="146">
        <f t="shared" si="11"/>
        <v>2.9374999999999929E-2</v>
      </c>
      <c r="W19" s="146">
        <f t="shared" si="12"/>
        <v>0.14133486261375366</v>
      </c>
    </row>
    <row r="20" spans="1:23" ht="14.4" x14ac:dyDescent="0.3">
      <c r="A20" s="7" t="s">
        <v>42</v>
      </c>
      <c r="B20" s="48">
        <v>183</v>
      </c>
      <c r="C20" s="48">
        <v>-203</v>
      </c>
      <c r="D20" s="48">
        <v>-2371</v>
      </c>
      <c r="E20" s="48">
        <v>-14633</v>
      </c>
      <c r="F20" s="48">
        <v>16806</v>
      </c>
      <c r="G20" s="146"/>
      <c r="H20" s="146">
        <f t="shared" ref="H20:L20" si="40">B20/B$9</f>
        <v>7.8578881603524452E-4</v>
      </c>
      <c r="I20" s="146">
        <f t="shared" si="40"/>
        <v>-7.2365090795017864E-4</v>
      </c>
      <c r="J20" s="146">
        <f t="shared" si="40"/>
        <v>-6.141468772017075E-3</v>
      </c>
      <c r="K20" s="146">
        <f t="shared" si="40"/>
        <v>-3.1145838211067169E-2</v>
      </c>
      <c r="L20" s="146">
        <f t="shared" si="40"/>
        <v>3.2697579491928724E-2</v>
      </c>
      <c r="M20" s="146">
        <f t="shared" si="6"/>
        <v>3.2697579491928724E-2</v>
      </c>
      <c r="N20" s="146">
        <f t="shared" si="7"/>
        <v>-3.1145838211067169E-2</v>
      </c>
      <c r="O20" s="146">
        <f t="shared" si="8"/>
        <v>-9.0551791661409029E-4</v>
      </c>
      <c r="P20" s="146"/>
      <c r="Q20" s="146">
        <f t="shared" ref="Q20:T20" si="41">C20/B20-1</f>
        <v>-2.1092896174863389</v>
      </c>
      <c r="R20" s="146">
        <f t="shared" si="41"/>
        <v>10.679802955665025</v>
      </c>
      <c r="S20" s="146">
        <f t="shared" si="41"/>
        <v>5.1716575284690007</v>
      </c>
      <c r="T20" s="146">
        <f t="shared" si="41"/>
        <v>-2.1484999658306565</v>
      </c>
      <c r="U20" s="146">
        <f t="shared" si="10"/>
        <v>10.679802955665025</v>
      </c>
      <c r="V20" s="146">
        <f t="shared" si="11"/>
        <v>-2.1484999658306565</v>
      </c>
      <c r="W20" s="146">
        <f t="shared" si="12"/>
        <v>2.8984177252042578</v>
      </c>
    </row>
    <row r="21" spans="1:23" ht="14.4" x14ac:dyDescent="0.3">
      <c r="A21" s="7" t="s">
        <v>99</v>
      </c>
      <c r="B21" s="48">
        <v>9</v>
      </c>
      <c r="C21" s="48">
        <v>-14</v>
      </c>
      <c r="D21" s="48">
        <v>16</v>
      </c>
      <c r="E21" s="48">
        <v>4</v>
      </c>
      <c r="F21" s="48">
        <v>-3</v>
      </c>
      <c r="G21" s="146"/>
      <c r="H21" s="146">
        <f t="shared" ref="H21:L21" si="42">B21/B$9</f>
        <v>3.8645351608290714E-5</v>
      </c>
      <c r="I21" s="146">
        <f t="shared" si="42"/>
        <v>-4.9906959168977831E-5</v>
      </c>
      <c r="J21" s="146">
        <f t="shared" si="42"/>
        <v>4.1443905673670685E-5</v>
      </c>
      <c r="K21" s="146">
        <f t="shared" si="42"/>
        <v>8.5138626969362858E-6</v>
      </c>
      <c r="L21" s="146">
        <f t="shared" si="42"/>
        <v>-5.8367689203728526E-6</v>
      </c>
      <c r="M21" s="146">
        <f t="shared" si="6"/>
        <v>4.1443905673670685E-5</v>
      </c>
      <c r="N21" s="146">
        <f t="shared" si="7"/>
        <v>-4.9906959168977831E-5</v>
      </c>
      <c r="O21" s="146">
        <f t="shared" si="8"/>
        <v>6.5718783779094003E-6</v>
      </c>
      <c r="P21" s="146"/>
      <c r="Q21" s="146">
        <f t="shared" ref="Q21:T21" si="43">C21/B21-1</f>
        <v>-2.5555555555555554</v>
      </c>
      <c r="R21" s="146">
        <f t="shared" si="43"/>
        <v>-2.1428571428571428</v>
      </c>
      <c r="S21" s="146">
        <f t="shared" si="43"/>
        <v>-0.75</v>
      </c>
      <c r="T21" s="146">
        <f t="shared" si="43"/>
        <v>-1.75</v>
      </c>
      <c r="U21" s="146">
        <f t="shared" si="10"/>
        <v>-0.75</v>
      </c>
      <c r="V21" s="146">
        <f t="shared" si="11"/>
        <v>-2.5555555555555554</v>
      </c>
      <c r="W21" s="146">
        <f t="shared" si="12"/>
        <v>-1.7996031746031744</v>
      </c>
    </row>
    <row r="22" spans="1:23" ht="14.4" x14ac:dyDescent="0.3">
      <c r="A22" s="35" t="s">
        <v>46</v>
      </c>
      <c r="B22" s="40">
        <f t="shared" ref="B22:F22" si="44">B17+B18-B19-B20+B21</f>
        <v>11270</v>
      </c>
      <c r="C22" s="40">
        <f t="shared" si="44"/>
        <v>13962</v>
      </c>
      <c r="D22" s="40">
        <f t="shared" si="44"/>
        <v>24194</v>
      </c>
      <c r="E22" s="40">
        <f t="shared" si="44"/>
        <v>38155</v>
      </c>
      <c r="F22" s="40">
        <f t="shared" si="44"/>
        <v>-5939</v>
      </c>
      <c r="G22" s="146"/>
      <c r="H22" s="146">
        <f t="shared" ref="H22:L22" si="45">B22/B$9</f>
        <v>4.8392568069492929E-2</v>
      </c>
      <c r="I22" s="146">
        <f t="shared" si="45"/>
        <v>4.9771497422662035E-2</v>
      </c>
      <c r="J22" s="146">
        <f t="shared" si="45"/>
        <v>6.2668365866799289E-2</v>
      </c>
      <c r="K22" s="146">
        <f t="shared" si="45"/>
        <v>8.1211607800401001E-2</v>
      </c>
      <c r="L22" s="146">
        <f t="shared" si="45"/>
        <v>-1.1554856872698124E-2</v>
      </c>
      <c r="M22" s="146">
        <f t="shared" si="6"/>
        <v>8.1211607800401001E-2</v>
      </c>
      <c r="N22" s="146">
        <f t="shared" si="7"/>
        <v>-1.1554856872698124E-2</v>
      </c>
      <c r="O22" s="146">
        <f t="shared" si="8"/>
        <v>4.6097836457331419E-2</v>
      </c>
      <c r="P22" s="146"/>
      <c r="Q22" s="146">
        <f t="shared" ref="Q22:T22" si="46">C22/B22-1</f>
        <v>0.23886424134871342</v>
      </c>
      <c r="R22" s="146">
        <f t="shared" si="46"/>
        <v>0.73284629709210725</v>
      </c>
      <c r="S22" s="146">
        <f t="shared" si="46"/>
        <v>0.57704389518062338</v>
      </c>
      <c r="T22" s="146">
        <f t="shared" si="46"/>
        <v>-1.1556545668981784</v>
      </c>
      <c r="U22" s="146">
        <f t="shared" si="10"/>
        <v>0.73284629709210725</v>
      </c>
      <c r="V22" s="146">
        <f t="shared" si="11"/>
        <v>-1.1556545668981784</v>
      </c>
      <c r="W22" s="146">
        <f t="shared" si="12"/>
        <v>9.8274966680816422E-2</v>
      </c>
    </row>
    <row r="23" spans="1:23" ht="14.4" x14ac:dyDescent="0.3">
      <c r="A23" s="7" t="s">
        <v>47</v>
      </c>
      <c r="B23" s="48">
        <v>1197</v>
      </c>
      <c r="C23" s="48">
        <v>2374</v>
      </c>
      <c r="D23" s="48">
        <v>2863</v>
      </c>
      <c r="E23" s="48">
        <v>4791</v>
      </c>
      <c r="F23" s="48">
        <v>-3217</v>
      </c>
      <c r="G23" s="146"/>
      <c r="H23" s="146">
        <f t="shared" ref="H23:L23" si="47">B23/B$9</f>
        <v>5.1398317639026652E-3</v>
      </c>
      <c r="I23" s="146">
        <f t="shared" si="47"/>
        <v>8.4627943619395279E-3</v>
      </c>
      <c r="J23" s="146">
        <f t="shared" si="47"/>
        <v>7.4158688714824486E-3</v>
      </c>
      <c r="K23" s="146">
        <f t="shared" si="47"/>
        <v>1.0197479045255437E-2</v>
      </c>
      <c r="L23" s="146">
        <f t="shared" si="47"/>
        <v>-6.2589618722798225E-3</v>
      </c>
      <c r="M23" s="146">
        <f t="shared" si="6"/>
        <v>1.0197479045255437E-2</v>
      </c>
      <c r="N23" s="146">
        <f t="shared" si="7"/>
        <v>-6.2589618722798225E-3</v>
      </c>
      <c r="O23" s="146">
        <f t="shared" si="8"/>
        <v>4.9914024340600516E-3</v>
      </c>
      <c r="P23" s="146"/>
      <c r="Q23" s="146">
        <f t="shared" ref="Q23:T23" si="48">C23/B23-1</f>
        <v>0.98329156223893066</v>
      </c>
      <c r="R23" s="146">
        <f t="shared" si="48"/>
        <v>0.2059814658803707</v>
      </c>
      <c r="S23" s="146">
        <f t="shared" si="48"/>
        <v>0.67341949004540691</v>
      </c>
      <c r="T23" s="146">
        <f t="shared" si="48"/>
        <v>-1.6714673345856816</v>
      </c>
      <c r="U23" s="146">
        <f t="shared" si="10"/>
        <v>0.98329156223893066</v>
      </c>
      <c r="V23" s="146">
        <f t="shared" si="11"/>
        <v>-1.6714673345856816</v>
      </c>
      <c r="W23" s="146">
        <f t="shared" si="12"/>
        <v>4.7806295894756656E-2</v>
      </c>
    </row>
    <row r="24" spans="1:23" ht="14.4" x14ac:dyDescent="0.3">
      <c r="A24" s="35" t="s">
        <v>51</v>
      </c>
      <c r="B24" s="40">
        <f t="shared" ref="B24:F24" si="49">B22-B23</f>
        <v>10073</v>
      </c>
      <c r="C24" s="40">
        <f t="shared" si="49"/>
        <v>11588</v>
      </c>
      <c r="D24" s="40">
        <f t="shared" si="49"/>
        <v>21331</v>
      </c>
      <c r="E24" s="40">
        <f t="shared" si="49"/>
        <v>33364</v>
      </c>
      <c r="F24" s="40">
        <f t="shared" si="49"/>
        <v>-2722</v>
      </c>
      <c r="G24" s="146"/>
      <c r="H24" s="146">
        <f t="shared" ref="H24:L24" si="50">B24/B$9</f>
        <v>4.3252736305590261E-2</v>
      </c>
      <c r="I24" s="146">
        <f t="shared" si="50"/>
        <v>4.1308703060722513E-2</v>
      </c>
      <c r="J24" s="146">
        <f t="shared" si="50"/>
        <v>5.5252496995316841E-2</v>
      </c>
      <c r="K24" s="146">
        <f t="shared" si="50"/>
        <v>7.1014128755145567E-2</v>
      </c>
      <c r="L24" s="146">
        <f t="shared" si="50"/>
        <v>-5.2958950004183018E-3</v>
      </c>
      <c r="M24" s="146">
        <f t="shared" si="6"/>
        <v>7.1014128755145567E-2</v>
      </c>
      <c r="N24" s="146">
        <f t="shared" si="7"/>
        <v>-5.2958950004183018E-3</v>
      </c>
      <c r="O24" s="146">
        <f t="shared" si="8"/>
        <v>4.1106434023271375E-2</v>
      </c>
      <c r="P24" s="146"/>
      <c r="Q24" s="146">
        <f t="shared" ref="Q24:T24" si="51">C24/B24-1</f>
        <v>0.1504020649260398</v>
      </c>
      <c r="R24" s="146">
        <f t="shared" si="51"/>
        <v>0.84078356920952713</v>
      </c>
      <c r="S24" s="146">
        <f t="shared" si="51"/>
        <v>0.56410857437532225</v>
      </c>
      <c r="T24" s="146">
        <f t="shared" si="51"/>
        <v>-1.0815849418534949</v>
      </c>
      <c r="U24" s="146">
        <f t="shared" si="10"/>
        <v>0.84078356920952713</v>
      </c>
      <c r="V24" s="146">
        <f t="shared" si="11"/>
        <v>-1.0815849418534949</v>
      </c>
      <c r="W24" s="146">
        <f t="shared" si="12"/>
        <v>0.11842731666434858</v>
      </c>
    </row>
    <row r="25" spans="1:23" ht="14.4" x14ac:dyDescent="0.3">
      <c r="A25" s="35"/>
      <c r="B25" s="40"/>
      <c r="C25" s="40"/>
      <c r="D25" s="40"/>
      <c r="E25" s="40"/>
      <c r="F25" s="40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</row>
    <row r="26" spans="1:23" ht="15" customHeight="1" x14ac:dyDescent="0.3">
      <c r="A26" s="35" t="s">
        <v>59</v>
      </c>
      <c r="H26" s="299" t="s">
        <v>208</v>
      </c>
      <c r="I26" s="300"/>
      <c r="J26" s="300"/>
      <c r="K26" s="300"/>
      <c r="L26" s="300"/>
      <c r="M26" s="300"/>
      <c r="N26" s="300"/>
      <c r="O26" s="300"/>
    </row>
    <row r="27" spans="1:23" ht="15" customHeight="1" x14ac:dyDescent="0.3">
      <c r="A27" s="82" t="s">
        <v>15</v>
      </c>
      <c r="B27" s="202">
        <v>2018</v>
      </c>
      <c r="C27" s="202">
        <f t="shared" ref="C27:F27" si="52">B27+1</f>
        <v>2019</v>
      </c>
      <c r="D27" s="202">
        <f t="shared" si="52"/>
        <v>2020</v>
      </c>
      <c r="E27" s="202">
        <f t="shared" si="52"/>
        <v>2021</v>
      </c>
      <c r="F27" s="202">
        <f t="shared" si="52"/>
        <v>2022</v>
      </c>
      <c r="G27" s="14"/>
      <c r="H27" s="202">
        <v>2018</v>
      </c>
      <c r="I27" s="202">
        <f t="shared" ref="I27:L27" si="53">H27+1</f>
        <v>2019</v>
      </c>
      <c r="J27" s="202">
        <f t="shared" si="53"/>
        <v>2020</v>
      </c>
      <c r="K27" s="202">
        <f t="shared" si="53"/>
        <v>2021</v>
      </c>
      <c r="L27" s="202">
        <f t="shared" si="53"/>
        <v>2022</v>
      </c>
      <c r="M27" s="202" t="s">
        <v>210</v>
      </c>
      <c r="N27" s="202" t="s">
        <v>211</v>
      </c>
      <c r="O27" s="202" t="s">
        <v>212</v>
      </c>
      <c r="P27" s="14"/>
    </row>
    <row r="28" spans="1:23" ht="15" customHeight="1" x14ac:dyDescent="0.3">
      <c r="A28" s="17" t="s">
        <v>16</v>
      </c>
      <c r="B28" s="18">
        <f t="shared" ref="B28:D28" si="54">EOMONTH(C28,-12)</f>
        <v>43465</v>
      </c>
      <c r="C28" s="18">
        <f t="shared" si="54"/>
        <v>43830</v>
      </c>
      <c r="D28" s="18">
        <f t="shared" si="54"/>
        <v>44196</v>
      </c>
      <c r="E28" s="18">
        <v>44561</v>
      </c>
      <c r="F28" s="18">
        <v>44926</v>
      </c>
      <c r="G28" s="22"/>
      <c r="H28" s="18">
        <f t="shared" ref="H28:J28" si="55">EOMONTH(I28,-12)</f>
        <v>43465</v>
      </c>
      <c r="I28" s="18">
        <f t="shared" si="55"/>
        <v>43830</v>
      </c>
      <c r="J28" s="18">
        <f t="shared" si="55"/>
        <v>44196</v>
      </c>
      <c r="K28" s="18">
        <v>44561</v>
      </c>
      <c r="L28" s="18">
        <v>44926</v>
      </c>
      <c r="M28" s="13"/>
      <c r="N28" s="13"/>
      <c r="O28" s="13"/>
      <c r="P28" s="22"/>
    </row>
    <row r="29" spans="1:23" ht="15" customHeight="1" x14ac:dyDescent="0.3">
      <c r="F29" s="7"/>
      <c r="L29" s="7"/>
    </row>
    <row r="30" spans="1:23" ht="15" customHeight="1" x14ac:dyDescent="0.3">
      <c r="A30" s="7" t="s">
        <v>60</v>
      </c>
      <c r="B30" s="78">
        <v>31750</v>
      </c>
      <c r="C30" s="78">
        <v>36092</v>
      </c>
      <c r="D30" s="78">
        <v>42122</v>
      </c>
      <c r="E30" s="78">
        <v>36220</v>
      </c>
      <c r="F30" s="78">
        <v>53888</v>
      </c>
      <c r="H30" s="146">
        <f t="shared" ref="H30:L30" si="56">B30/B$9</f>
        <v>0.13633221261813669</v>
      </c>
      <c r="I30" s="146">
        <f t="shared" si="56"/>
        <v>0.12866014073762486</v>
      </c>
      <c r="J30" s="146">
        <f t="shared" si="56"/>
        <v>0.10910626217414729</v>
      </c>
      <c r="K30" s="146">
        <f t="shared" si="56"/>
        <v>7.7093026720758073E-2</v>
      </c>
      <c r="L30" s="146">
        <f t="shared" si="56"/>
        <v>0.10484393452701743</v>
      </c>
      <c r="M30" s="146">
        <f t="shared" ref="M30:M38" si="57">MAX(H30:L30)</f>
        <v>0.13633221261813669</v>
      </c>
      <c r="N30" s="146">
        <f t="shared" ref="N30:N38" si="58">MIN(H30:L30)</f>
        <v>7.7093026720758073E-2</v>
      </c>
      <c r="O30" s="146">
        <f t="shared" ref="O30:O38" si="59">AVERAGE(H30:L30)</f>
        <v>0.11120711535553687</v>
      </c>
    </row>
    <row r="31" spans="1:23" ht="15" customHeight="1" x14ac:dyDescent="0.3">
      <c r="A31" s="7" t="s">
        <v>62</v>
      </c>
      <c r="B31" s="78">
        <v>9500</v>
      </c>
      <c r="C31" s="78">
        <v>18929</v>
      </c>
      <c r="D31" s="78">
        <v>42274</v>
      </c>
      <c r="E31" s="78">
        <v>59829</v>
      </c>
      <c r="F31" s="78">
        <v>16138</v>
      </c>
      <c r="H31" s="146">
        <f t="shared" ref="H31:L31" si="60">B31/B$9</f>
        <v>4.0792315586529092E-2</v>
      </c>
      <c r="I31" s="146">
        <f t="shared" si="60"/>
        <v>6.7477773579255815E-2</v>
      </c>
      <c r="J31" s="146">
        <f t="shared" si="60"/>
        <v>0.10949997927804717</v>
      </c>
      <c r="K31" s="146">
        <f t="shared" si="60"/>
        <v>0.12734397282375026</v>
      </c>
      <c r="L31" s="146">
        <f t="shared" si="60"/>
        <v>3.1397925612325697E-2</v>
      </c>
      <c r="M31" s="146">
        <f t="shared" si="57"/>
        <v>0.12734397282375026</v>
      </c>
      <c r="N31" s="146">
        <f t="shared" si="58"/>
        <v>3.1397925612325697E-2</v>
      </c>
      <c r="O31" s="146">
        <f t="shared" si="59"/>
        <v>7.5302393375981602E-2</v>
      </c>
    </row>
    <row r="32" spans="1:23" ht="15" customHeight="1" x14ac:dyDescent="0.3">
      <c r="A32" s="7" t="s">
        <v>63</v>
      </c>
      <c r="B32" s="78">
        <v>17174</v>
      </c>
      <c r="C32" s="78">
        <v>20497</v>
      </c>
      <c r="D32" s="78">
        <v>23795</v>
      </c>
      <c r="E32" s="78">
        <v>32640</v>
      </c>
      <c r="F32" s="78">
        <v>34405</v>
      </c>
      <c r="H32" s="146">
        <f t="shared" ref="H32:L32" si="61">B32/B$10</f>
        <v>0.12341544741153813</v>
      </c>
      <c r="I32" s="146">
        <f t="shared" si="61"/>
        <v>0.12382200850570269</v>
      </c>
      <c r="J32" s="146">
        <f t="shared" si="61"/>
        <v>0.10199008173779613</v>
      </c>
      <c r="K32" s="146">
        <f t="shared" si="61"/>
        <v>0.11984842698939577</v>
      </c>
      <c r="L32" s="146">
        <f t="shared" si="61"/>
        <v>0.11911810020392548</v>
      </c>
      <c r="M32" s="146">
        <f t="shared" si="57"/>
        <v>0.12382200850570269</v>
      </c>
      <c r="N32" s="146">
        <f t="shared" si="58"/>
        <v>0.10199008173779613</v>
      </c>
      <c r="O32" s="146">
        <f t="shared" si="59"/>
        <v>0.11763881296967163</v>
      </c>
    </row>
    <row r="33" spans="1:15" ht="15" customHeight="1" x14ac:dyDescent="0.3">
      <c r="A33" s="7" t="s">
        <v>65</v>
      </c>
      <c r="B33" s="78">
        <v>16677</v>
      </c>
      <c r="C33" s="78">
        <v>20816</v>
      </c>
      <c r="D33" s="78">
        <v>24542</v>
      </c>
      <c r="E33" s="78">
        <v>32891</v>
      </c>
      <c r="F33" s="78">
        <v>42360</v>
      </c>
      <c r="H33" s="146">
        <f t="shared" ref="H33:L33" si="62">B33/B$9</f>
        <v>7.1609836530162702E-2</v>
      </c>
      <c r="I33" s="146">
        <f t="shared" si="62"/>
        <v>7.4204518718674464E-2</v>
      </c>
      <c r="J33" s="146">
        <f t="shared" si="62"/>
        <v>6.3569770815201626E-2</v>
      </c>
      <c r="K33" s="146">
        <f t="shared" si="62"/>
        <v>7.0007364491232849E-2</v>
      </c>
      <c r="L33" s="146">
        <f t="shared" si="62"/>
        <v>8.2415177155664682E-2</v>
      </c>
      <c r="M33" s="146">
        <f t="shared" si="57"/>
        <v>8.2415177155664682E-2</v>
      </c>
      <c r="N33" s="146">
        <f t="shared" si="58"/>
        <v>6.3569770815201626E-2</v>
      </c>
      <c r="O33" s="146">
        <f t="shared" si="59"/>
        <v>7.2361333542187281E-2</v>
      </c>
    </row>
    <row r="34" spans="1:15" ht="15" customHeight="1" x14ac:dyDescent="0.3">
      <c r="A34" s="7" t="s">
        <v>214</v>
      </c>
      <c r="B34" s="78">
        <v>61797</v>
      </c>
      <c r="C34" s="78">
        <v>72705</v>
      </c>
      <c r="D34" s="78">
        <v>113114</v>
      </c>
      <c r="E34" s="78">
        <v>160281</v>
      </c>
      <c r="F34" s="78">
        <v>186715</v>
      </c>
      <c r="H34" s="146">
        <f t="shared" ref="H34:L34" si="63">B34/B$9</f>
        <v>0.26535186592639348</v>
      </c>
      <c r="I34" s="146">
        <f t="shared" si="63"/>
        <v>0.25917753331289523</v>
      </c>
      <c r="J34" s="146">
        <f t="shared" si="63"/>
        <v>0.29299287164822413</v>
      </c>
      <c r="K34" s="146">
        <f t="shared" si="63"/>
        <v>0.34115260673191122</v>
      </c>
      <c r="L34" s="146">
        <f t="shared" si="63"/>
        <v>0.36327076965580574</v>
      </c>
      <c r="M34" s="146">
        <f t="shared" si="57"/>
        <v>0.36327076965580574</v>
      </c>
      <c r="N34" s="146">
        <f t="shared" si="58"/>
        <v>0.25917753331289523</v>
      </c>
      <c r="O34" s="146">
        <f t="shared" si="59"/>
        <v>0.30438912945504598</v>
      </c>
    </row>
    <row r="35" spans="1:15" ht="15" customHeight="1" x14ac:dyDescent="0.3">
      <c r="A35" s="7" t="s">
        <v>68</v>
      </c>
      <c r="B35" s="78">
        <v>0</v>
      </c>
      <c r="C35" s="78">
        <v>25141</v>
      </c>
      <c r="D35" s="78">
        <v>37553</v>
      </c>
      <c r="E35" s="78">
        <v>56082</v>
      </c>
      <c r="F35" s="78">
        <v>66123</v>
      </c>
      <c r="H35" s="146">
        <f t="shared" ref="H35:L35" si="64">B35/B$9</f>
        <v>0</v>
      </c>
      <c r="I35" s="146">
        <f t="shared" si="64"/>
        <v>8.9622204319090834E-2</v>
      </c>
      <c r="J35" s="146">
        <f t="shared" si="64"/>
        <v>9.7271436860209712E-2</v>
      </c>
      <c r="K35" s="146">
        <f t="shared" si="64"/>
        <v>0.1193686119423952</v>
      </c>
      <c r="L35" s="146">
        <f t="shared" si="64"/>
        <v>0.12864822377393806</v>
      </c>
      <c r="M35" s="146">
        <f t="shared" si="57"/>
        <v>0.12864822377393806</v>
      </c>
      <c r="N35" s="146">
        <f t="shared" si="58"/>
        <v>0</v>
      </c>
      <c r="O35" s="146">
        <f t="shared" si="59"/>
        <v>8.6982095379126753E-2</v>
      </c>
    </row>
    <row r="36" spans="1:15" ht="15" customHeight="1" x14ac:dyDescent="0.3">
      <c r="A36" s="7" t="s">
        <v>69</v>
      </c>
      <c r="B36" s="78">
        <v>14548</v>
      </c>
      <c r="C36" s="78">
        <v>14754</v>
      </c>
      <c r="D36" s="78">
        <v>15017</v>
      </c>
      <c r="E36" s="78">
        <v>15371</v>
      </c>
      <c r="F36" s="78">
        <v>20288</v>
      </c>
      <c r="H36" s="146">
        <f t="shared" ref="H36:L36" si="65">B36/B$9</f>
        <v>6.2468063910823705E-2</v>
      </c>
      <c r="I36" s="146">
        <f t="shared" si="65"/>
        <v>5.2594805398507069E-2</v>
      </c>
      <c r="J36" s="146">
        <f t="shared" si="65"/>
        <v>3.8897695718844542E-2</v>
      </c>
      <c r="K36" s="146">
        <f t="shared" si="65"/>
        <v>3.2716645878651918E-2</v>
      </c>
      <c r="L36" s="146">
        <f t="shared" si="65"/>
        <v>3.9472122618841476E-2</v>
      </c>
      <c r="M36" s="146">
        <f t="shared" si="57"/>
        <v>6.2468063910823705E-2</v>
      </c>
      <c r="N36" s="146">
        <f t="shared" si="58"/>
        <v>3.2716645878651918E-2</v>
      </c>
      <c r="O36" s="146">
        <f t="shared" si="59"/>
        <v>4.5229866705133744E-2</v>
      </c>
    </row>
    <row r="37" spans="1:15" ht="15" customHeight="1" x14ac:dyDescent="0.3">
      <c r="A37" s="7" t="s">
        <v>71</v>
      </c>
      <c r="B37" s="78">
        <v>11202</v>
      </c>
      <c r="C37" s="78">
        <v>16314</v>
      </c>
      <c r="D37" s="78">
        <v>22778</v>
      </c>
      <c r="E37" s="78">
        <v>27235</v>
      </c>
      <c r="F37" s="78">
        <v>42758</v>
      </c>
      <c r="H37" s="146">
        <f t="shared" ref="H37:L37" si="66">B37/B$9</f>
        <v>4.810058096845251E-2</v>
      </c>
      <c r="I37" s="146">
        <f t="shared" si="66"/>
        <v>5.8155866563050315E-2</v>
      </c>
      <c r="J37" s="146">
        <f t="shared" si="66"/>
        <v>5.9000580214679431E-2</v>
      </c>
      <c r="K37" s="146">
        <f t="shared" si="66"/>
        <v>5.7968762637764938E-2</v>
      </c>
      <c r="L37" s="146">
        <f t="shared" si="66"/>
        <v>8.3189521832434152E-2</v>
      </c>
      <c r="M37" s="146">
        <f t="shared" si="57"/>
        <v>8.3189521832434152E-2</v>
      </c>
      <c r="N37" s="146">
        <f t="shared" si="58"/>
        <v>4.810058096845251E-2</v>
      </c>
      <c r="O37" s="146">
        <f t="shared" si="59"/>
        <v>6.1283062443276269E-2</v>
      </c>
    </row>
    <row r="38" spans="1:15" ht="15" customHeight="1" x14ac:dyDescent="0.3">
      <c r="A38" s="52" t="s">
        <v>72</v>
      </c>
      <c r="B38" s="165">
        <v>162648</v>
      </c>
      <c r="C38" s="165">
        <v>225248</v>
      </c>
      <c r="D38" s="165">
        <v>321195</v>
      </c>
      <c r="E38" s="165">
        <v>420549</v>
      </c>
      <c r="F38" s="165">
        <v>462675</v>
      </c>
      <c r="H38" s="146">
        <f t="shared" ref="H38:L38" si="67">B38/B$9</f>
        <v>0.69839879426502982</v>
      </c>
      <c r="I38" s="146">
        <f t="shared" si="67"/>
        <v>0.80296019563527998</v>
      </c>
      <c r="J38" s="146">
        <f t="shared" si="67"/>
        <v>0.83197345517841603</v>
      </c>
      <c r="K38" s="146">
        <f t="shared" si="67"/>
        <v>0.89512411083346455</v>
      </c>
      <c r="L38" s="146">
        <f t="shared" si="67"/>
        <v>0.90017568674450321</v>
      </c>
      <c r="M38" s="146">
        <f t="shared" si="57"/>
        <v>0.90017568674450321</v>
      </c>
      <c r="N38" s="146">
        <f t="shared" si="58"/>
        <v>0.69839879426502982</v>
      </c>
      <c r="O38" s="146">
        <f t="shared" si="59"/>
        <v>0.8257264485313387</v>
      </c>
    </row>
    <row r="39" spans="1:15" ht="15" customHeight="1" x14ac:dyDescent="0.3">
      <c r="B39" s="78"/>
      <c r="C39" s="78"/>
      <c r="D39" s="78"/>
      <c r="E39" s="78"/>
      <c r="F39" s="78"/>
      <c r="H39" s="146"/>
      <c r="I39" s="146"/>
      <c r="J39" s="146"/>
      <c r="K39" s="146"/>
      <c r="L39" s="146"/>
      <c r="M39" s="146"/>
    </row>
    <row r="40" spans="1:15" ht="15" customHeight="1" x14ac:dyDescent="0.3">
      <c r="A40" s="7" t="s">
        <v>73</v>
      </c>
      <c r="B40" s="78">
        <v>38192</v>
      </c>
      <c r="C40" s="78">
        <v>47183</v>
      </c>
      <c r="D40" s="78">
        <v>72539</v>
      </c>
      <c r="E40" s="78">
        <v>78664</v>
      </c>
      <c r="F40" s="78">
        <v>79600</v>
      </c>
      <c r="H40" s="146">
        <f t="shared" ref="H40:L40" si="68">B40/B$10</f>
        <v>0.27445456897295123</v>
      </c>
      <c r="I40" s="146">
        <f t="shared" si="68"/>
        <v>0.2850316547457955</v>
      </c>
      <c r="J40" s="146">
        <f t="shared" si="68"/>
        <v>0.3109165177212857</v>
      </c>
      <c r="K40" s="146">
        <f t="shared" si="68"/>
        <v>0.28884058396733542</v>
      </c>
      <c r="L40" s="146">
        <f t="shared" si="68"/>
        <v>0.27559368627328784</v>
      </c>
      <c r="M40" s="146">
        <f t="shared" ref="M40:M48" si="69">MAX(H40:L40)</f>
        <v>0.3109165177212857</v>
      </c>
      <c r="N40" s="146">
        <f t="shared" ref="N40:N48" si="70">MIN(H40:L40)</f>
        <v>0.27445456897295123</v>
      </c>
      <c r="O40" s="146">
        <f t="shared" ref="O40:O48" si="71">AVERAGE(H40:L40)</f>
        <v>0.28696740233613116</v>
      </c>
    </row>
    <row r="41" spans="1:15" ht="15" customHeight="1" x14ac:dyDescent="0.3">
      <c r="A41" s="47" t="s">
        <v>74</v>
      </c>
      <c r="B41" s="78">
        <v>23663</v>
      </c>
      <c r="C41" s="78">
        <v>32439</v>
      </c>
      <c r="D41" s="78">
        <v>44138</v>
      </c>
      <c r="E41" s="78">
        <v>51775</v>
      </c>
      <c r="F41" s="78">
        <v>62566</v>
      </c>
      <c r="H41" s="146">
        <f t="shared" ref="H41:L41" si="72">B41/B$9</f>
        <v>0.10160721723410925</v>
      </c>
      <c r="I41" s="146">
        <f t="shared" si="72"/>
        <v>0.11563798917731942</v>
      </c>
      <c r="J41" s="146">
        <f t="shared" si="72"/>
        <v>0.11432819428902979</v>
      </c>
      <c r="K41" s="146">
        <f t="shared" si="72"/>
        <v>0.11020131028346906</v>
      </c>
      <c r="L41" s="146">
        <f t="shared" si="72"/>
        <v>0.12172776142401596</v>
      </c>
      <c r="M41" s="146">
        <f t="shared" si="69"/>
        <v>0.12172776142401596</v>
      </c>
      <c r="N41" s="146">
        <f t="shared" si="70"/>
        <v>0.10160721723410925</v>
      </c>
      <c r="O41" s="146">
        <f t="shared" si="71"/>
        <v>0.1127004944815887</v>
      </c>
    </row>
    <row r="42" spans="1:15" ht="15" customHeight="1" x14ac:dyDescent="0.3">
      <c r="A42" s="47" t="s">
        <v>75</v>
      </c>
      <c r="B42" s="78">
        <v>6536</v>
      </c>
      <c r="C42" s="78">
        <v>8190</v>
      </c>
      <c r="D42" s="78">
        <v>9708</v>
      </c>
      <c r="E42" s="78">
        <v>11827</v>
      </c>
      <c r="F42" s="78">
        <v>13227</v>
      </c>
      <c r="H42" s="146">
        <f t="shared" ref="H42:L42" si="73">B42/B$9</f>
        <v>2.8065113123532014E-2</v>
      </c>
      <c r="I42" s="146">
        <f t="shared" si="73"/>
        <v>2.9195571113852032E-2</v>
      </c>
      <c r="J42" s="146">
        <f t="shared" si="73"/>
        <v>2.5146089767499689E-2</v>
      </c>
      <c r="K42" s="146">
        <f t="shared" si="73"/>
        <v>2.5173363529166364E-2</v>
      </c>
      <c r="L42" s="146">
        <f t="shared" si="73"/>
        <v>2.5734314169923909E-2</v>
      </c>
      <c r="M42" s="146">
        <f t="shared" si="69"/>
        <v>2.9195571113852032E-2</v>
      </c>
      <c r="N42" s="146">
        <f t="shared" si="70"/>
        <v>2.5146089767499689E-2</v>
      </c>
      <c r="O42" s="146">
        <f t="shared" si="71"/>
        <v>2.6662890340794804E-2</v>
      </c>
    </row>
    <row r="43" spans="1:15" ht="15" customHeight="1" x14ac:dyDescent="0.3">
      <c r="A43" s="52" t="s">
        <v>76</v>
      </c>
      <c r="B43" s="165">
        <v>68391</v>
      </c>
      <c r="C43" s="165">
        <v>87812</v>
      </c>
      <c r="D43" s="165">
        <v>126385</v>
      </c>
      <c r="E43" s="165">
        <v>142266</v>
      </c>
      <c r="F43" s="165">
        <v>155393</v>
      </c>
      <c r="H43" s="146">
        <f t="shared" ref="H43:L43" si="74">B43/B$9</f>
        <v>0.29366602687140114</v>
      </c>
      <c r="I43" s="146">
        <f t="shared" si="74"/>
        <v>0.31303070703902014</v>
      </c>
      <c r="J43" s="146">
        <f t="shared" si="74"/>
        <v>0.32736800116042936</v>
      </c>
      <c r="K43" s="146">
        <f t="shared" si="74"/>
        <v>0.30280829761058442</v>
      </c>
      <c r="L43" s="146">
        <f t="shared" si="74"/>
        <v>0.30233101094783288</v>
      </c>
      <c r="M43" s="146">
        <f t="shared" si="69"/>
        <v>0.32736800116042936</v>
      </c>
      <c r="N43" s="146">
        <f t="shared" si="70"/>
        <v>0.29366602687140114</v>
      </c>
      <c r="O43" s="146">
        <f t="shared" si="71"/>
        <v>0.30784080872585362</v>
      </c>
    </row>
    <row r="44" spans="1:15" ht="15" customHeight="1" x14ac:dyDescent="0.3">
      <c r="A44" s="7" t="s">
        <v>77</v>
      </c>
      <c r="B44" s="78">
        <v>23495</v>
      </c>
      <c r="C44" s="78">
        <v>23414</v>
      </c>
      <c r="D44" s="78">
        <v>31816</v>
      </c>
      <c r="E44" s="78">
        <v>48744</v>
      </c>
      <c r="F44" s="78">
        <v>67150</v>
      </c>
      <c r="H44" s="146">
        <f t="shared" ref="H44:L44" si="75">B44/B$38</f>
        <v>0.14445305198957256</v>
      </c>
      <c r="I44" s="146">
        <f t="shared" si="75"/>
        <v>0.10394764881375196</v>
      </c>
      <c r="J44" s="146">
        <f t="shared" si="75"/>
        <v>9.9055091144009094E-2</v>
      </c>
      <c r="K44" s="146">
        <f t="shared" si="75"/>
        <v>0.11590563763081116</v>
      </c>
      <c r="L44" s="146">
        <f t="shared" si="75"/>
        <v>0.14513427351812827</v>
      </c>
      <c r="M44" s="146">
        <f t="shared" si="69"/>
        <v>0.14513427351812827</v>
      </c>
      <c r="N44" s="146">
        <f t="shared" si="70"/>
        <v>9.9055091144009094E-2</v>
      </c>
      <c r="O44" s="146">
        <f t="shared" si="71"/>
        <v>0.1216991406192546</v>
      </c>
    </row>
    <row r="45" spans="1:15" ht="15" customHeight="1" x14ac:dyDescent="0.3">
      <c r="A45" s="7" t="s">
        <v>79</v>
      </c>
      <c r="B45" s="78">
        <v>9650</v>
      </c>
      <c r="C45" s="78">
        <v>39791</v>
      </c>
      <c r="D45" s="78">
        <v>52573</v>
      </c>
      <c r="E45" s="78">
        <v>67651</v>
      </c>
      <c r="F45" s="78">
        <v>72968</v>
      </c>
      <c r="H45" s="146">
        <f t="shared" ref="H45:L45" si="76">B45/B$9</f>
        <v>4.1436404780000602E-2</v>
      </c>
      <c r="I45" s="146">
        <f t="shared" si="76"/>
        <v>0.14184627230662836</v>
      </c>
      <c r="J45" s="146">
        <f t="shared" si="76"/>
        <v>0.13617690331136806</v>
      </c>
      <c r="K45" s="146">
        <f t="shared" si="76"/>
        <v>0.14399283132760918</v>
      </c>
      <c r="L45" s="146">
        <f t="shared" si="76"/>
        <v>0.14196578486058878</v>
      </c>
      <c r="M45" s="146">
        <f t="shared" si="69"/>
        <v>0.14399283132760918</v>
      </c>
      <c r="N45" s="146">
        <f t="shared" si="70"/>
        <v>4.1436404780000602E-2</v>
      </c>
      <c r="O45" s="146">
        <f t="shared" si="71"/>
        <v>0.12108363931723901</v>
      </c>
    </row>
    <row r="46" spans="1:15" ht="15" customHeight="1" x14ac:dyDescent="0.3">
      <c r="A46" s="7" t="s">
        <v>80</v>
      </c>
      <c r="B46" s="78">
        <v>17563</v>
      </c>
      <c r="C46" s="78">
        <v>12171</v>
      </c>
      <c r="D46" s="78">
        <v>17017</v>
      </c>
      <c r="E46" s="78">
        <v>23643</v>
      </c>
      <c r="F46" s="78">
        <v>21121</v>
      </c>
      <c r="H46" s="146">
        <f t="shared" ref="H46:L46" si="77">B46/B$38</f>
        <v>0.10798165363238404</v>
      </c>
      <c r="I46" s="146">
        <f t="shared" si="77"/>
        <v>5.4033776104560303E-2</v>
      </c>
      <c r="J46" s="146">
        <f t="shared" si="77"/>
        <v>5.2980276778903782E-2</v>
      </c>
      <c r="K46" s="146">
        <f t="shared" si="77"/>
        <v>5.6219370394413014E-2</v>
      </c>
      <c r="L46" s="146">
        <f t="shared" si="77"/>
        <v>4.5649754147079481E-2</v>
      </c>
      <c r="M46" s="146">
        <f t="shared" si="69"/>
        <v>0.10798165363238404</v>
      </c>
      <c r="N46" s="146">
        <f t="shared" si="70"/>
        <v>4.5649754147079481E-2</v>
      </c>
      <c r="O46" s="146">
        <f t="shared" si="71"/>
        <v>6.3372966211468124E-2</v>
      </c>
    </row>
    <row r="47" spans="1:15" ht="15" customHeight="1" x14ac:dyDescent="0.3">
      <c r="A47" s="52" t="s">
        <v>81</v>
      </c>
      <c r="B47" s="165">
        <v>50708</v>
      </c>
      <c r="C47" s="165">
        <v>75376</v>
      </c>
      <c r="D47" s="165">
        <v>101406</v>
      </c>
      <c r="E47" s="165">
        <v>140038</v>
      </c>
      <c r="F47" s="165">
        <v>161239</v>
      </c>
      <c r="H47" s="146">
        <f t="shared" ref="H47:L47" si="78">B47/B$9</f>
        <v>0.21773649881702284</v>
      </c>
      <c r="I47" s="146">
        <f t="shared" si="78"/>
        <v>0.26869906816577666</v>
      </c>
      <c r="J47" s="146">
        <f t="shared" si="78"/>
        <v>0.26266629367151562</v>
      </c>
      <c r="K47" s="146">
        <f t="shared" si="78"/>
        <v>0.29806607608839092</v>
      </c>
      <c r="L47" s="146">
        <f t="shared" si="78"/>
        <v>0.31370492798399946</v>
      </c>
      <c r="M47" s="146">
        <f t="shared" si="69"/>
        <v>0.31370492798399946</v>
      </c>
      <c r="N47" s="146">
        <f t="shared" si="70"/>
        <v>0.21773649881702284</v>
      </c>
      <c r="O47" s="146">
        <f t="shared" si="71"/>
        <v>0.27217457294534109</v>
      </c>
    </row>
    <row r="48" spans="1:15" ht="15" customHeight="1" x14ac:dyDescent="0.3">
      <c r="A48" s="52" t="s">
        <v>82</v>
      </c>
      <c r="B48" s="165">
        <v>119099</v>
      </c>
      <c r="C48" s="165">
        <v>163188</v>
      </c>
      <c r="D48" s="165">
        <v>227791</v>
      </c>
      <c r="E48" s="165">
        <v>282304</v>
      </c>
      <c r="F48" s="165">
        <v>316632</v>
      </c>
      <c r="H48" s="146">
        <f t="shared" ref="H48:L48" si="79">B48/B$9</f>
        <v>0.51140252568842404</v>
      </c>
      <c r="I48" s="146">
        <f t="shared" si="79"/>
        <v>0.58172977520479674</v>
      </c>
      <c r="J48" s="146">
        <f t="shared" si="79"/>
        <v>0.59003429483194492</v>
      </c>
      <c r="K48" s="146">
        <f t="shared" si="79"/>
        <v>0.60087437369897534</v>
      </c>
      <c r="L48" s="146">
        <f t="shared" si="79"/>
        <v>0.61603593893183239</v>
      </c>
      <c r="M48" s="146">
        <f t="shared" si="69"/>
        <v>0.61603593893183239</v>
      </c>
      <c r="N48" s="146">
        <f t="shared" si="70"/>
        <v>0.51140252568842404</v>
      </c>
      <c r="O48" s="146">
        <f t="shared" si="71"/>
        <v>0.58001538167119471</v>
      </c>
    </row>
    <row r="49" spans="1:17" ht="15" customHeight="1" x14ac:dyDescent="0.3">
      <c r="B49" s="78"/>
      <c r="C49" s="78"/>
      <c r="D49" s="78"/>
      <c r="E49" s="78"/>
      <c r="F49" s="78"/>
      <c r="H49" s="146"/>
      <c r="I49" s="146"/>
      <c r="J49" s="146"/>
      <c r="K49" s="146"/>
      <c r="L49" s="146"/>
      <c r="M49" s="146"/>
    </row>
    <row r="50" spans="1:17" ht="15" customHeight="1" x14ac:dyDescent="0.3">
      <c r="A50" s="47" t="s">
        <v>83</v>
      </c>
      <c r="B50" s="78">
        <v>5</v>
      </c>
      <c r="C50" s="78">
        <v>5</v>
      </c>
      <c r="D50" s="78">
        <v>5</v>
      </c>
      <c r="E50" s="78">
        <v>106</v>
      </c>
      <c r="F50" s="78">
        <v>108</v>
      </c>
      <c r="H50" s="146">
        <f t="shared" ref="H50:L50" si="80">B50/B$9</f>
        <v>2.1469639782383732E-5</v>
      </c>
      <c r="I50" s="146">
        <f t="shared" si="80"/>
        <v>1.7823913988920655E-5</v>
      </c>
      <c r="J50" s="146">
        <f t="shared" si="80"/>
        <v>1.295122052302209E-5</v>
      </c>
      <c r="K50" s="146">
        <f t="shared" si="80"/>
        <v>2.2561736146881159E-4</v>
      </c>
      <c r="L50" s="146">
        <f t="shared" si="80"/>
        <v>2.1012368113342269E-4</v>
      </c>
      <c r="M50" s="146">
        <f t="shared" ref="M50:M56" si="81">MAX(H50:L50)</f>
        <v>2.2561736146881159E-4</v>
      </c>
      <c r="N50" s="146">
        <f t="shared" ref="N50:N56" si="82">MIN(H50:L50)</f>
        <v>1.295122052302209E-5</v>
      </c>
      <c r="O50" s="146">
        <f t="shared" ref="O50:O56" si="83">AVERAGE(H50:L50)</f>
        <v>9.7597163379312148E-5</v>
      </c>
    </row>
    <row r="51" spans="1:17" ht="15" customHeight="1" x14ac:dyDescent="0.3">
      <c r="A51" s="47" t="s">
        <v>84</v>
      </c>
      <c r="B51" s="78">
        <v>26791</v>
      </c>
      <c r="C51" s="78">
        <v>33658</v>
      </c>
      <c r="D51" s="78">
        <v>42865</v>
      </c>
      <c r="E51" s="78">
        <v>55437</v>
      </c>
      <c r="F51" s="78">
        <v>75066</v>
      </c>
      <c r="H51" s="146">
        <f t="shared" ref="H51:L51" si="84">B51/B$9</f>
        <v>0.1150386238819685</v>
      </c>
      <c r="I51" s="146">
        <f t="shared" si="84"/>
        <v>0.11998345940781828</v>
      </c>
      <c r="J51" s="146">
        <f t="shared" si="84"/>
        <v>0.11103081354386837</v>
      </c>
      <c r="K51" s="146">
        <f t="shared" si="84"/>
        <v>0.11799575158251423</v>
      </c>
      <c r="L51" s="146">
        <f t="shared" si="84"/>
        <v>0.14604763192556952</v>
      </c>
      <c r="M51" s="146">
        <f t="shared" si="81"/>
        <v>0.14604763192556952</v>
      </c>
      <c r="N51" s="146">
        <f t="shared" si="82"/>
        <v>0.11103081354386837</v>
      </c>
      <c r="O51" s="146">
        <f t="shared" si="83"/>
        <v>0.12201925606834778</v>
      </c>
    </row>
    <row r="52" spans="1:17" ht="15" customHeight="1" x14ac:dyDescent="0.3">
      <c r="A52" s="47" t="s">
        <v>85</v>
      </c>
      <c r="B52" s="78">
        <v>-1837</v>
      </c>
      <c r="C52" s="78">
        <v>-1837</v>
      </c>
      <c r="D52" s="78">
        <v>-1837</v>
      </c>
      <c r="E52" s="78">
        <v>-1837</v>
      </c>
      <c r="F52" s="78">
        <v>-7837</v>
      </c>
      <c r="H52" s="146">
        <f t="shared" ref="H52:L52" si="85">B52/B$9</f>
        <v>-7.8879456560477824E-3</v>
      </c>
      <c r="I52" s="146">
        <f t="shared" si="85"/>
        <v>-6.5485059995294484E-3</v>
      </c>
      <c r="J52" s="146">
        <f t="shared" si="85"/>
        <v>-4.7582784201583156E-3</v>
      </c>
      <c r="K52" s="146">
        <f t="shared" si="85"/>
        <v>-3.9099914435679894E-3</v>
      </c>
      <c r="L52" s="146">
        <f t="shared" si="85"/>
        <v>-1.5247586009654016E-2</v>
      </c>
      <c r="M52" s="146">
        <f t="shared" si="81"/>
        <v>-3.9099914435679894E-3</v>
      </c>
      <c r="N52" s="146">
        <f t="shared" si="82"/>
        <v>-1.5247586009654016E-2</v>
      </c>
      <c r="O52" s="146">
        <f t="shared" si="83"/>
        <v>-7.6704615057915111E-3</v>
      </c>
    </row>
    <row r="53" spans="1:17" ht="15" customHeight="1" x14ac:dyDescent="0.3">
      <c r="A53" s="47" t="s">
        <v>85</v>
      </c>
      <c r="B53" s="78">
        <v>24959</v>
      </c>
      <c r="C53" s="78">
        <v>31826</v>
      </c>
      <c r="D53" s="78">
        <v>41033</v>
      </c>
      <c r="E53" s="78">
        <v>53706</v>
      </c>
      <c r="F53" s="78">
        <v>67337</v>
      </c>
      <c r="H53" s="146">
        <f t="shared" ref="H53:L53" si="86">B53/B$9</f>
        <v>0.10717214786570312</v>
      </c>
      <c r="I53" s="146">
        <f t="shared" si="86"/>
        <v>0.11345277732227775</v>
      </c>
      <c r="J53" s="146">
        <f t="shared" si="86"/>
        <v>0.10628548634423308</v>
      </c>
      <c r="K53" s="146">
        <f t="shared" si="86"/>
        <v>0.11431137750041505</v>
      </c>
      <c r="L53" s="146">
        <f t="shared" si="86"/>
        <v>0.13101016959704892</v>
      </c>
      <c r="M53" s="146">
        <f t="shared" si="81"/>
        <v>0.13101016959704892</v>
      </c>
      <c r="N53" s="146">
        <f t="shared" si="82"/>
        <v>0.10628548634423308</v>
      </c>
      <c r="O53" s="146">
        <f t="shared" si="83"/>
        <v>0.11444639172593558</v>
      </c>
    </row>
    <row r="54" spans="1:17" ht="15" customHeight="1" x14ac:dyDescent="0.3">
      <c r="A54" s="47" t="s">
        <v>88</v>
      </c>
      <c r="B54" s="78">
        <v>19625</v>
      </c>
      <c r="C54" s="78">
        <v>31220</v>
      </c>
      <c r="D54" s="78">
        <v>52551</v>
      </c>
      <c r="E54" s="78">
        <v>85915</v>
      </c>
      <c r="F54" s="78">
        <v>83193</v>
      </c>
      <c r="H54" s="146">
        <f t="shared" ref="H54:L54" si="87">B54/B$9</f>
        <v>8.4268336145856146E-2</v>
      </c>
      <c r="I54" s="146">
        <f t="shared" si="87"/>
        <v>0.11129251894682057</v>
      </c>
      <c r="J54" s="146">
        <f t="shared" si="87"/>
        <v>0.13611991794106676</v>
      </c>
      <c r="K54" s="146">
        <f t="shared" si="87"/>
        <v>0.18286712840182026</v>
      </c>
      <c r="L54" s="146">
        <f t="shared" si="87"/>
        <v>0.16185943893085958</v>
      </c>
      <c r="M54" s="146">
        <f t="shared" si="81"/>
        <v>0.18286712840182026</v>
      </c>
      <c r="N54" s="146">
        <f t="shared" si="82"/>
        <v>8.4268336145856146E-2</v>
      </c>
      <c r="O54" s="146">
        <f t="shared" si="83"/>
        <v>0.13528146807328464</v>
      </c>
    </row>
    <row r="55" spans="1:17" ht="15" customHeight="1" x14ac:dyDescent="0.3">
      <c r="A55" s="47" t="s">
        <v>90</v>
      </c>
      <c r="B55" s="78">
        <v>-1035</v>
      </c>
      <c r="C55" s="78">
        <v>-986</v>
      </c>
      <c r="D55" s="78">
        <v>-180</v>
      </c>
      <c r="E55" s="78">
        <v>-1376</v>
      </c>
      <c r="F55" s="78">
        <v>-4487</v>
      </c>
      <c r="H55" s="146">
        <f t="shared" ref="H55:L55" si="88">B55/B$9</f>
        <v>-4.4442154349534323E-3</v>
      </c>
      <c r="I55" s="146">
        <f t="shared" si="88"/>
        <v>-3.5148758386151532E-3</v>
      </c>
      <c r="J55" s="146">
        <f t="shared" si="88"/>
        <v>-4.6624393882879522E-4</v>
      </c>
      <c r="K55" s="146">
        <f t="shared" si="88"/>
        <v>-2.9287687677460824E-3</v>
      </c>
      <c r="L55" s="146">
        <f t="shared" si="88"/>
        <v>-8.7298607152376632E-3</v>
      </c>
      <c r="M55" s="146">
        <f t="shared" si="81"/>
        <v>-4.6624393882879522E-4</v>
      </c>
      <c r="N55" s="146">
        <f t="shared" si="82"/>
        <v>-8.7298607152376632E-3</v>
      </c>
      <c r="O55" s="146">
        <f t="shared" si="83"/>
        <v>-4.0167929390762256E-3</v>
      </c>
      <c r="Q55" s="204"/>
    </row>
    <row r="56" spans="1:17" ht="15" customHeight="1" x14ac:dyDescent="0.3">
      <c r="A56" s="52" t="s">
        <v>92</v>
      </c>
      <c r="B56" s="165">
        <v>43549</v>
      </c>
      <c r="C56" s="165">
        <v>62060</v>
      </c>
      <c r="D56" s="165">
        <v>93404</v>
      </c>
      <c r="E56" s="165">
        <v>138245</v>
      </c>
      <c r="F56" s="165">
        <v>146043</v>
      </c>
      <c r="H56" s="146">
        <f t="shared" ref="H56:L56" si="89">B56/B$9</f>
        <v>0.18699626857660581</v>
      </c>
      <c r="I56" s="146">
        <f t="shared" si="89"/>
        <v>0.22123042043048316</v>
      </c>
      <c r="J56" s="146">
        <f t="shared" si="89"/>
        <v>0.24193916034647106</v>
      </c>
      <c r="K56" s="146">
        <f t="shared" si="89"/>
        <v>0.29424973713448921</v>
      </c>
      <c r="L56" s="146">
        <f t="shared" si="89"/>
        <v>0.28413974781267087</v>
      </c>
      <c r="M56" s="146">
        <f t="shared" si="81"/>
        <v>0.29424973713448921</v>
      </c>
      <c r="N56" s="146">
        <f t="shared" si="82"/>
        <v>0.18699626857660581</v>
      </c>
      <c r="O56" s="146">
        <f t="shared" si="83"/>
        <v>0.24571106686014402</v>
      </c>
    </row>
    <row r="57" spans="1:17" ht="15" customHeight="1" x14ac:dyDescent="0.3">
      <c r="B57" s="78"/>
      <c r="C57" s="78"/>
      <c r="D57" s="78"/>
      <c r="E57" s="78"/>
      <c r="F57" s="78"/>
    </row>
    <row r="58" spans="1:17" ht="15" customHeight="1" x14ac:dyDescent="0.3">
      <c r="B58" s="78"/>
      <c r="C58" s="78"/>
      <c r="D58" s="78"/>
      <c r="E58" s="78"/>
      <c r="F58" s="78"/>
    </row>
  </sheetData>
  <mergeCells count="3">
    <mergeCell ref="H3:O3"/>
    <mergeCell ref="Q3:W3"/>
    <mergeCell ref="H26:O2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22"/>
  <sheetViews>
    <sheetView showGridLines="0" workbookViewId="0"/>
  </sheetViews>
  <sheetFormatPr defaultColWidth="14.44140625" defaultRowHeight="15" customHeight="1" x14ac:dyDescent="0.3"/>
  <cols>
    <col min="1" max="1" width="2.44140625" customWidth="1"/>
    <col min="2" max="2" width="33.109375" customWidth="1"/>
    <col min="3" max="3" width="18.109375" customWidth="1"/>
    <col min="5" max="5" width="40.109375" customWidth="1"/>
  </cols>
  <sheetData>
    <row r="1" spans="1:13" ht="15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3" ht="15" customHeight="1" x14ac:dyDescent="0.3">
      <c r="A2" s="5"/>
      <c r="B2" s="205" t="s">
        <v>215</v>
      </c>
      <c r="C2" s="206"/>
      <c r="D2" s="206"/>
      <c r="E2" s="206"/>
      <c r="F2" s="206"/>
      <c r="G2" s="206"/>
      <c r="H2" s="206"/>
      <c r="I2" s="206"/>
      <c r="J2" s="5"/>
    </row>
    <row r="3" spans="1:13" ht="15" customHeight="1" x14ac:dyDescent="0.3">
      <c r="A3" s="5"/>
      <c r="B3" s="207" t="s">
        <v>216</v>
      </c>
      <c r="C3" s="5"/>
      <c r="D3" s="5"/>
      <c r="E3" s="5"/>
      <c r="F3" s="5"/>
      <c r="G3" s="5"/>
      <c r="H3" s="33"/>
      <c r="I3" s="5"/>
      <c r="J3" s="5"/>
    </row>
    <row r="4" spans="1:13" ht="15" customHeight="1" x14ac:dyDescent="0.3">
      <c r="A4" s="5"/>
      <c r="B4" s="208" t="s">
        <v>217</v>
      </c>
      <c r="C4" s="5"/>
      <c r="D4" s="5"/>
      <c r="E4" s="209"/>
      <c r="F4" s="210"/>
      <c r="G4" s="5"/>
      <c r="K4" s="5" t="s">
        <v>218</v>
      </c>
      <c r="L4" s="5"/>
      <c r="M4" s="5"/>
    </row>
    <row r="5" spans="1:13" ht="15" customHeight="1" x14ac:dyDescent="0.3">
      <c r="A5" s="5"/>
      <c r="B5" s="5"/>
      <c r="C5" s="211"/>
      <c r="D5" s="5"/>
      <c r="E5" s="212" t="s">
        <v>219</v>
      </c>
      <c r="F5" s="5"/>
      <c r="G5" s="5"/>
      <c r="K5" s="5" t="s">
        <v>220</v>
      </c>
      <c r="L5" s="5" t="s">
        <v>221</v>
      </c>
      <c r="M5" s="33">
        <v>4.36E-2</v>
      </c>
    </row>
    <row r="6" spans="1:13" ht="15" customHeight="1" x14ac:dyDescent="0.3">
      <c r="A6" s="5"/>
      <c r="B6" s="5" t="s">
        <v>222</v>
      </c>
      <c r="C6" s="213">
        <f>-Schedules!H99</f>
        <v>4.1847671147772963E-2</v>
      </c>
      <c r="E6" s="5" t="s">
        <v>223</v>
      </c>
      <c r="F6" s="214"/>
      <c r="K6" s="5" t="s">
        <v>224</v>
      </c>
      <c r="L6" s="5" t="s">
        <v>225</v>
      </c>
      <c r="M6" s="33">
        <v>7.9200000000000007E-2</v>
      </c>
    </row>
    <row r="7" spans="1:13" ht="15" customHeight="1" x14ac:dyDescent="0.3">
      <c r="A7" s="5"/>
      <c r="B7" s="5" t="s">
        <v>226</v>
      </c>
      <c r="C7" s="215">
        <f>'Forecasted 3 Statements'!I45</f>
        <v>0.13003801344496763</v>
      </c>
      <c r="D7" s="5"/>
      <c r="E7" s="301" t="s">
        <v>223</v>
      </c>
      <c r="F7" s="300"/>
      <c r="G7" s="300"/>
      <c r="K7" s="5" t="s">
        <v>227</v>
      </c>
      <c r="L7" s="5" t="s">
        <v>228</v>
      </c>
      <c r="M7" s="5">
        <v>0.9</v>
      </c>
    </row>
    <row r="8" spans="1:13" ht="15" customHeight="1" x14ac:dyDescent="0.3">
      <c r="A8" s="5"/>
      <c r="B8" s="5" t="s">
        <v>229</v>
      </c>
      <c r="C8" s="216">
        <f>C6*(1-C7)</f>
        <v>3.6405883124418274E-2</v>
      </c>
      <c r="D8" s="5"/>
      <c r="E8" s="301" t="s">
        <v>230</v>
      </c>
      <c r="F8" s="300"/>
      <c r="G8" s="5"/>
      <c r="K8" s="5" t="s">
        <v>231</v>
      </c>
      <c r="L8" s="5"/>
      <c r="M8" s="33">
        <v>0.1152</v>
      </c>
    </row>
    <row r="9" spans="1:13" ht="15" customHeight="1" x14ac:dyDescent="0.3">
      <c r="A9" s="5"/>
      <c r="B9" s="5"/>
      <c r="C9" s="211"/>
      <c r="D9" s="5"/>
      <c r="E9" s="5"/>
      <c r="F9" s="5"/>
      <c r="G9" s="5"/>
      <c r="K9" s="5" t="s">
        <v>232</v>
      </c>
      <c r="L9" s="5"/>
      <c r="M9" s="5">
        <v>0.87</v>
      </c>
    </row>
    <row r="10" spans="1:13" ht="15" customHeight="1" x14ac:dyDescent="0.3">
      <c r="A10" s="5"/>
      <c r="B10" s="5" t="s">
        <v>233</v>
      </c>
      <c r="C10" s="213">
        <v>4.19E-2</v>
      </c>
      <c r="D10" s="5"/>
      <c r="E10" s="5" t="s">
        <v>234</v>
      </c>
      <c r="F10" s="217" t="s">
        <v>235</v>
      </c>
      <c r="K10" s="5"/>
      <c r="L10" s="5"/>
      <c r="M10" s="5"/>
    </row>
    <row r="11" spans="1:13" ht="15" customHeight="1" x14ac:dyDescent="0.3">
      <c r="A11" s="5"/>
      <c r="B11" s="5" t="s">
        <v>236</v>
      </c>
      <c r="C11" s="218">
        <v>0.9</v>
      </c>
      <c r="E11" s="5" t="s">
        <v>237</v>
      </c>
      <c r="K11" s="5" t="s">
        <v>238</v>
      </c>
      <c r="L11" s="5"/>
      <c r="M11" s="33">
        <v>9.7000000000000003E-3</v>
      </c>
    </row>
    <row r="12" spans="1:13" ht="15" customHeight="1" x14ac:dyDescent="0.3">
      <c r="A12" s="5"/>
      <c r="B12" s="5" t="s">
        <v>239</v>
      </c>
      <c r="C12" s="213">
        <v>5.5E-2</v>
      </c>
      <c r="D12" s="5"/>
      <c r="E12" s="5" t="s">
        <v>240</v>
      </c>
      <c r="K12" s="5" t="s">
        <v>222</v>
      </c>
      <c r="L12" s="5"/>
      <c r="M12" s="33">
        <v>5.33E-2</v>
      </c>
    </row>
    <row r="13" spans="1:13" ht="15" customHeight="1" x14ac:dyDescent="0.3">
      <c r="A13" s="5"/>
      <c r="B13" s="5" t="s">
        <v>241</v>
      </c>
      <c r="C13" s="216">
        <f>C10+C11*C12</f>
        <v>9.1400000000000009E-2</v>
      </c>
      <c r="D13" s="5"/>
      <c r="E13" s="301" t="s">
        <v>242</v>
      </c>
      <c r="F13" s="300"/>
      <c r="K13" s="5" t="s">
        <v>243</v>
      </c>
      <c r="L13" s="5"/>
      <c r="M13" s="5" t="s">
        <v>244</v>
      </c>
    </row>
    <row r="14" spans="1:13" ht="15" customHeight="1" x14ac:dyDescent="0.3">
      <c r="A14" s="5"/>
      <c r="B14" s="5"/>
      <c r="C14" s="5"/>
      <c r="D14" s="5"/>
      <c r="E14" s="5"/>
      <c r="F14" s="5"/>
      <c r="K14" s="5" t="s">
        <v>245</v>
      </c>
      <c r="L14" s="5"/>
      <c r="M14" s="33">
        <v>4.1399999999999999E-2</v>
      </c>
    </row>
    <row r="15" spans="1:13" ht="15" customHeight="1" x14ac:dyDescent="0.3">
      <c r="A15" s="5"/>
      <c r="B15" s="219" t="s">
        <v>246</v>
      </c>
      <c r="C15" s="220"/>
      <c r="D15" s="220"/>
      <c r="E15" s="220"/>
      <c r="F15" s="5"/>
      <c r="K15" s="5" t="s">
        <v>247</v>
      </c>
      <c r="L15" s="5"/>
      <c r="M15" s="33">
        <v>4.3200000000000002E-2</v>
      </c>
    </row>
    <row r="16" spans="1:13" ht="15" customHeight="1" x14ac:dyDescent="0.3">
      <c r="A16" s="5"/>
      <c r="B16" s="208"/>
      <c r="C16" s="221"/>
      <c r="D16" s="221" t="s">
        <v>248</v>
      </c>
      <c r="E16" s="5"/>
      <c r="F16" s="5"/>
      <c r="K16" s="7" t="s">
        <v>249</v>
      </c>
      <c r="M16" s="146">
        <v>0.11219999999999999</v>
      </c>
    </row>
    <row r="17" spans="1:11" ht="15" customHeight="1" x14ac:dyDescent="0.3">
      <c r="A17" s="5"/>
      <c r="B17" s="5"/>
      <c r="C17" s="222" t="s">
        <v>250</v>
      </c>
      <c r="D17" s="222" t="s">
        <v>251</v>
      </c>
      <c r="E17" s="222" t="s">
        <v>252</v>
      </c>
      <c r="F17" s="5"/>
      <c r="K17" s="7" t="s">
        <v>253</v>
      </c>
    </row>
    <row r="18" spans="1:11" ht="15" customHeight="1" x14ac:dyDescent="0.3">
      <c r="A18" s="5"/>
      <c r="B18" s="5" t="s">
        <v>254</v>
      </c>
      <c r="C18" s="223">
        <f ca="1">DCF!C97</f>
        <v>2005966.0595314042</v>
      </c>
      <c r="D18" s="224"/>
      <c r="E18" s="225">
        <f t="shared" ref="E18:E19" ca="1" si="0">C18/($C$18+$C$19)</f>
        <v>0.99772070789502454</v>
      </c>
      <c r="F18" s="208" t="s">
        <v>255</v>
      </c>
      <c r="J18" s="5"/>
    </row>
    <row r="19" spans="1:11" ht="15" customHeight="1" x14ac:dyDescent="0.3">
      <c r="A19" s="5"/>
      <c r="B19" s="5" t="s">
        <v>256</v>
      </c>
      <c r="C19" s="226">
        <f ca="1">DCF!C55</f>
        <v>4582.6277495883696</v>
      </c>
      <c r="D19" s="211"/>
      <c r="E19" s="225">
        <f t="shared" ca="1" si="0"/>
        <v>2.2792921049754741E-3</v>
      </c>
      <c r="F19" s="208" t="s">
        <v>257</v>
      </c>
      <c r="J19" s="5"/>
    </row>
    <row r="20" spans="1:11" ht="15" customHeight="1" x14ac:dyDescent="0.3">
      <c r="A20" s="5"/>
      <c r="B20" s="5"/>
      <c r="C20" s="211"/>
      <c r="D20" s="211"/>
      <c r="E20" s="211"/>
      <c r="F20" s="5"/>
      <c r="J20" s="5"/>
    </row>
    <row r="21" spans="1:11" ht="15" customHeight="1" x14ac:dyDescent="0.3">
      <c r="A21" s="5"/>
      <c r="B21" s="227" t="s">
        <v>258</v>
      </c>
      <c r="C21" s="228"/>
      <c r="D21" s="229"/>
      <c r="E21" s="230">
        <f ca="1">(CODAT*E19)+(C13*E18)</f>
        <v>9.1274652343585394E-2</v>
      </c>
      <c r="F21" s="5"/>
      <c r="J21" s="5"/>
    </row>
    <row r="22" spans="1:11" ht="15" customHeight="1" x14ac:dyDescent="0.3">
      <c r="A22" s="5"/>
      <c r="B22" s="5"/>
      <c r="C22" s="5"/>
      <c r="D22" s="5"/>
      <c r="E22" s="5"/>
      <c r="F22" s="5"/>
      <c r="J22" s="5"/>
    </row>
  </sheetData>
  <mergeCells count="3">
    <mergeCell ref="E7:G7"/>
    <mergeCell ref="E8:F8"/>
    <mergeCell ref="E13:F13"/>
  </mergeCells>
  <hyperlinks>
    <hyperlink ref="F10" r:id="rId1" xr:uid="{00000000-0004-0000-0300-000000000000}"/>
  </hyperlinks>
  <pageMargins left="0.7" right="0.7" top="0.75" bottom="0.75" header="0" footer="0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03"/>
  <sheetViews>
    <sheetView showGridLines="0" tabSelected="1" workbookViewId="0">
      <selection activeCell="H21" sqref="H21"/>
    </sheetView>
  </sheetViews>
  <sheetFormatPr defaultColWidth="14.44140625" defaultRowHeight="15" customHeight="1" x14ac:dyDescent="0.3"/>
  <cols>
    <col min="1" max="1" width="2.44140625" customWidth="1"/>
    <col min="2" max="2" width="47.109375" customWidth="1"/>
    <col min="15" max="15" width="2.88671875" customWidth="1"/>
  </cols>
  <sheetData>
    <row r="1" spans="1:15" ht="15" customHeight="1" x14ac:dyDescent="0.35">
      <c r="A1" s="5"/>
      <c r="B1" s="231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customHeight="1" x14ac:dyDescent="0.4">
      <c r="A2" s="5"/>
      <c r="B2" s="1" t="s">
        <v>259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 x14ac:dyDescent="0.3">
      <c r="A3" s="5"/>
      <c r="B3" s="207" t="s">
        <v>216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5" customHeight="1" x14ac:dyDescent="0.3">
      <c r="A4" s="5"/>
      <c r="B4" s="5" t="s">
        <v>260</v>
      </c>
      <c r="C4" s="5"/>
      <c r="D4" s="232">
        <f>D12</f>
        <v>44926</v>
      </c>
      <c r="E4" s="5"/>
      <c r="F4" s="304" t="s">
        <v>261</v>
      </c>
      <c r="G4" s="300"/>
      <c r="I4" s="5"/>
      <c r="J4" s="304" t="s">
        <v>262</v>
      </c>
      <c r="K4" s="300"/>
      <c r="L4" s="5"/>
      <c r="M4" s="5"/>
      <c r="N4" s="5"/>
      <c r="O4" s="5"/>
    </row>
    <row r="5" spans="1:15" ht="15" customHeight="1" x14ac:dyDescent="0.3">
      <c r="A5" s="5"/>
      <c r="B5" s="5" t="s">
        <v>263</v>
      </c>
      <c r="C5" s="5"/>
      <c r="D5" s="232">
        <f>E12</f>
        <v>45291</v>
      </c>
      <c r="E5" s="5"/>
      <c r="F5" s="301" t="s">
        <v>264</v>
      </c>
      <c r="G5" s="300"/>
      <c r="H5" s="233">
        <f>'Forecasted 3 Statements'!D8</f>
        <v>148.84</v>
      </c>
      <c r="I5" s="5"/>
      <c r="J5" s="301" t="s">
        <v>265</v>
      </c>
      <c r="K5" s="300"/>
      <c r="L5" s="234">
        <f ca="1">WACC!E21</f>
        <v>9.1274652343585394E-2</v>
      </c>
      <c r="M5" s="5"/>
      <c r="N5" s="5"/>
      <c r="O5" s="5"/>
    </row>
    <row r="6" spans="1:15" ht="15" customHeight="1" x14ac:dyDescent="0.3">
      <c r="A6" s="5"/>
      <c r="B6" s="5" t="s">
        <v>266</v>
      </c>
      <c r="C6" s="5"/>
      <c r="D6" s="232">
        <f>E12</f>
        <v>45291</v>
      </c>
      <c r="E6" s="5"/>
      <c r="F6" s="301" t="s">
        <v>267</v>
      </c>
      <c r="G6" s="300"/>
      <c r="H6" s="235">
        <f>'Forecasted 3 Statements'!D9</f>
        <v>45273</v>
      </c>
      <c r="I6" s="5"/>
      <c r="J6" s="301" t="s">
        <v>268</v>
      </c>
      <c r="K6" s="300"/>
      <c r="L6" s="203">
        <f ca="1">C59</f>
        <v>1818901.1207598411</v>
      </c>
      <c r="M6" s="5"/>
      <c r="N6" s="5"/>
      <c r="O6" s="236"/>
    </row>
    <row r="7" spans="1:15" ht="15" customHeight="1" x14ac:dyDescent="0.3">
      <c r="A7" s="5"/>
      <c r="B7" s="5" t="s">
        <v>269</v>
      </c>
      <c r="C7" s="5"/>
      <c r="D7" s="235">
        <v>45273</v>
      </c>
      <c r="E7" s="5"/>
      <c r="F7" s="5" t="s">
        <v>270</v>
      </c>
      <c r="G7" s="5"/>
      <c r="H7" s="237">
        <f>'Forecasted 3 Statements'!D12</f>
        <v>10322</v>
      </c>
      <c r="I7" s="236"/>
      <c r="J7" s="5" t="s">
        <v>271</v>
      </c>
      <c r="K7" s="5"/>
      <c r="L7" s="203">
        <f ca="1">C65</f>
        <v>1971969.3490667311</v>
      </c>
      <c r="M7" s="236"/>
      <c r="N7" s="236"/>
      <c r="O7" s="236"/>
    </row>
    <row r="8" spans="1:15" ht="15" customHeight="1" x14ac:dyDescent="0.3">
      <c r="A8" s="5"/>
      <c r="B8" s="5" t="s">
        <v>272</v>
      </c>
      <c r="C8" s="5"/>
      <c r="D8" s="238">
        <f>YEARFRAC(D7,D5)</f>
        <v>0.05</v>
      </c>
      <c r="E8" s="5"/>
      <c r="F8" s="5" t="s">
        <v>273</v>
      </c>
      <c r="H8" s="239">
        <f>H7*H5</f>
        <v>1536326.48</v>
      </c>
      <c r="I8" s="5"/>
      <c r="J8" s="5" t="s">
        <v>274</v>
      </c>
      <c r="L8" s="240">
        <f ca="1">C67</f>
        <v>191.04527698767012</v>
      </c>
      <c r="M8" s="5"/>
      <c r="N8" s="5"/>
      <c r="O8" s="5"/>
    </row>
    <row r="9" spans="1:15" ht="15" customHeight="1" x14ac:dyDescent="0.3">
      <c r="A9" s="5"/>
      <c r="B9" s="5"/>
      <c r="C9" s="5"/>
      <c r="D9" s="241"/>
      <c r="E9" s="5"/>
      <c r="F9" s="5"/>
      <c r="G9" s="5"/>
      <c r="H9" s="5"/>
      <c r="I9" s="5"/>
      <c r="J9" s="5" t="s">
        <v>275</v>
      </c>
      <c r="L9" s="33">
        <f ca="1">L8/H5-1</f>
        <v>0.28356138798488395</v>
      </c>
      <c r="M9" s="5"/>
      <c r="N9" s="5"/>
      <c r="O9" s="5"/>
    </row>
    <row r="10" spans="1:15" ht="15" customHeight="1" x14ac:dyDescent="0.3">
      <c r="A10" s="5"/>
      <c r="B10" s="208" t="s">
        <v>276</v>
      </c>
      <c r="C10" s="5"/>
      <c r="D10" s="24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5" customHeight="1" x14ac:dyDescent="0.3">
      <c r="A11" s="5"/>
      <c r="B11" s="82" t="s">
        <v>15</v>
      </c>
      <c r="C11" s="242"/>
      <c r="D11" s="243">
        <v>2022</v>
      </c>
      <c r="E11" s="16">
        <v>2023</v>
      </c>
      <c r="F11" s="16">
        <v>2024</v>
      </c>
      <c r="G11" s="16">
        <v>2025</v>
      </c>
      <c r="H11" s="16">
        <v>2026</v>
      </c>
      <c r="I11" s="16">
        <v>2027</v>
      </c>
      <c r="J11" s="16">
        <v>2028</v>
      </c>
      <c r="K11" s="16">
        <v>2029</v>
      </c>
      <c r="L11" s="16">
        <v>2030</v>
      </c>
      <c r="M11" s="16">
        <v>2031</v>
      </c>
      <c r="N11" s="16">
        <v>2032</v>
      </c>
      <c r="O11" s="5"/>
    </row>
    <row r="12" spans="1:15" ht="15" customHeight="1" x14ac:dyDescent="0.3">
      <c r="A12" s="5"/>
      <c r="B12" s="17" t="s">
        <v>16</v>
      </c>
      <c r="C12" s="244"/>
      <c r="D12" s="245">
        <v>44926</v>
      </c>
      <c r="E12" s="246">
        <v>45291</v>
      </c>
      <c r="F12" s="246">
        <v>45657</v>
      </c>
      <c r="G12" s="246">
        <v>46022</v>
      </c>
      <c r="H12" s="246">
        <v>46387</v>
      </c>
      <c r="I12" s="246">
        <v>46752</v>
      </c>
      <c r="J12" s="246">
        <v>47118</v>
      </c>
      <c r="K12" s="246">
        <v>47483</v>
      </c>
      <c r="L12" s="246">
        <v>47848</v>
      </c>
      <c r="M12" s="246">
        <v>48213</v>
      </c>
      <c r="N12" s="246">
        <v>48579</v>
      </c>
      <c r="O12" s="5"/>
    </row>
    <row r="13" spans="1:15" ht="15" customHeight="1" x14ac:dyDescent="0.3">
      <c r="A13" s="5"/>
      <c r="B13" s="247"/>
      <c r="C13" s="5"/>
      <c r="D13" s="248"/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5"/>
    </row>
    <row r="14" spans="1:15" ht="15" customHeight="1" x14ac:dyDescent="0.3">
      <c r="A14" s="5"/>
      <c r="B14" s="5" t="s">
        <v>277</v>
      </c>
      <c r="C14" s="5"/>
      <c r="D14" s="249">
        <v>46752</v>
      </c>
      <c r="E14" s="250">
        <f ca="1">'Forecasted 3 Statements'!I102-'Forecasted 3 Statements'!I95</f>
        <v>103823.18755432797</v>
      </c>
      <c r="F14" s="250">
        <f ca="1">'Forecasted 3 Statements'!J102-'Forecasted 3 Statements'!J95</f>
        <v>129654.31736342289</v>
      </c>
      <c r="G14" s="250">
        <f ca="1">'Forecasted 3 Statements'!K102-'Forecasted 3 Statements'!K95</f>
        <v>181074.8607353504</v>
      </c>
      <c r="H14" s="250">
        <f ca="1">'Forecasted 3 Statements'!L102-'Forecasted 3 Statements'!L95</f>
        <v>238165.68642544706</v>
      </c>
      <c r="I14" s="250">
        <f ca="1">'Forecasted 3 Statements'!M102-'Forecasted 3 Statements'!M95</f>
        <v>301468.22899161064</v>
      </c>
      <c r="J14" s="250">
        <f ca="1">'Forecasted 3 Statements'!N102-'Forecasted 3 Statements'!N95</f>
        <v>366848.69034170877</v>
      </c>
      <c r="K14" s="250">
        <f ca="1">'Forecasted 3 Statements'!O102-'Forecasted 3 Statements'!O95</f>
        <v>428177.09591253445</v>
      </c>
      <c r="L14" s="250">
        <f ca="1">'Forecasted 3 Statements'!P102-'Forecasted 3 Statements'!P95</f>
        <v>478443.24900717195</v>
      </c>
      <c r="M14" s="250">
        <f ca="1">'Forecasted 3 Statements'!Q102-'Forecasted 3 Statements'!Q95</f>
        <v>510752.91092951334</v>
      </c>
      <c r="N14" s="250">
        <f ca="1">'Forecasted 3 Statements'!R102-'Forecasted 3 Statements'!R95</f>
        <v>519729.49673177011</v>
      </c>
      <c r="O14" s="5"/>
    </row>
    <row r="15" spans="1:15" ht="15" customHeight="1" x14ac:dyDescent="0.3">
      <c r="A15" s="5"/>
      <c r="B15" s="251" t="s">
        <v>24</v>
      </c>
      <c r="C15" s="252"/>
      <c r="D15" s="253"/>
      <c r="E15" s="254">
        <f t="shared" ref="E15:N15" ca="1" si="0">E14/D14-1</f>
        <v>1.2207218419389112</v>
      </c>
      <c r="F15" s="254">
        <f t="shared" ca="1" si="0"/>
        <v>0.24879923664044856</v>
      </c>
      <c r="G15" s="254">
        <f t="shared" ca="1" si="0"/>
        <v>0.39659723191318808</v>
      </c>
      <c r="H15" s="254">
        <f t="shared" ca="1" si="0"/>
        <v>0.31528852463698764</v>
      </c>
      <c r="I15" s="254">
        <f t="shared" ca="1" si="0"/>
        <v>0.26579203543655372</v>
      </c>
      <c r="J15" s="254">
        <f t="shared" ca="1" si="0"/>
        <v>0.2168734714393985</v>
      </c>
      <c r="K15" s="254">
        <f t="shared" ca="1" si="0"/>
        <v>0.16717629689150604</v>
      </c>
      <c r="L15" s="254">
        <f t="shared" ca="1" si="0"/>
        <v>0.11739570746424421</v>
      </c>
      <c r="M15" s="254">
        <f t="shared" ca="1" si="0"/>
        <v>6.753081371591696E-2</v>
      </c>
      <c r="N15" s="254">
        <f t="shared" ca="1" si="0"/>
        <v>1.7575202431877157E-2</v>
      </c>
      <c r="O15" s="5"/>
    </row>
    <row r="16" spans="1:15" ht="15" customHeight="1" x14ac:dyDescent="0.3">
      <c r="A16" s="5"/>
      <c r="B16" s="5" t="s">
        <v>278</v>
      </c>
      <c r="C16" s="5"/>
      <c r="D16" s="249">
        <f>-(SUM('Forecasted 3 Statements'!H59:H60)-SUM('Forecasted 3 Statements'!G59:G60))</f>
        <v>26023</v>
      </c>
      <c r="E16" s="250">
        <f ca="1">-(SUM('Forecasted 3 Statements'!I59:I60)-SUM('Forecasted 3 Statements'!H59:H60))</f>
        <v>-13170.131811191604</v>
      </c>
      <c r="F16" s="250">
        <f ca="1">-(SUM('Forecasted 3 Statements'!J59:J60)-SUM('Forecasted 3 Statements'!I59:I60))</f>
        <v>-23474.170869191308</v>
      </c>
      <c r="G16" s="250">
        <f ca="1">-(SUM('Forecasted 3 Statements'!K59:K60)-SUM('Forecasted 3 Statements'!J59:J60))</f>
        <v>-40133.027304428804</v>
      </c>
      <c r="H16" s="250">
        <f ca="1">-(SUM('Forecasted 3 Statements'!L59:L60)-SUM('Forecasted 3 Statements'!K59:K60))</f>
        <v>-48011.102873854805</v>
      </c>
      <c r="I16" s="250">
        <f ca="1">-(SUM('Forecasted 3 Statements'!M59:M60)-SUM('Forecasted 3 Statements'!L59:L60))</f>
        <v>-54129.789369400241</v>
      </c>
      <c r="J16" s="250">
        <f ca="1">-(SUM('Forecasted 3 Statements'!N59:N60)-SUM('Forecasted 3 Statements'!M59:M60))</f>
        <v>-56924.198405931471</v>
      </c>
      <c r="K16" s="250">
        <f ca="1">-(SUM('Forecasted 3 Statements'!O59:O60)-SUM('Forecasted 3 Statements'!N59:N60))</f>
        <v>-54894.769915238896</v>
      </c>
      <c r="L16" s="250">
        <f ca="1">-(SUM('Forecasted 3 Statements'!P59:P60)-SUM('Forecasted 3 Statements'!O59:O60))</f>
        <v>-47000.672311062051</v>
      </c>
      <c r="M16" s="250">
        <f ca="1">-(SUM('Forecasted 3 Statements'!Q59:Q60)-SUM('Forecasted 3 Statements'!P59:P60))</f>
        <v>-33065.822474916757</v>
      </c>
      <c r="N16" s="250">
        <f ca="1">-(SUM('Forecasted 3 Statements'!R59:R60)-SUM('Forecasted 3 Statements'!Q59:Q60))</f>
        <v>-14062.466962193372</v>
      </c>
      <c r="O16" s="5"/>
    </row>
    <row r="17" spans="1:15" ht="15" customHeight="1" x14ac:dyDescent="0.3">
      <c r="A17" s="5"/>
      <c r="B17" s="251" t="s">
        <v>24</v>
      </c>
      <c r="C17" s="252"/>
      <c r="D17" s="255"/>
      <c r="E17" s="254">
        <f t="shared" ref="E17:N17" ca="1" si="1">E16/D16-1</f>
        <v>-1.5060958310414481</v>
      </c>
      <c r="F17" s="254">
        <f t="shared" ca="1" si="1"/>
        <v>0.7823793418106586</v>
      </c>
      <c r="G17" s="254">
        <f t="shared" ca="1" si="1"/>
        <v>0.70966751192483746</v>
      </c>
      <c r="H17" s="254">
        <f t="shared" ca="1" si="1"/>
        <v>0.19629906086243909</v>
      </c>
      <c r="I17" s="254">
        <f t="shared" ca="1" si="1"/>
        <v>0.12744315646365756</v>
      </c>
      <c r="J17" s="254">
        <f t="shared" ca="1" si="1"/>
        <v>5.1624236286256897E-2</v>
      </c>
      <c r="K17" s="254">
        <f t="shared" ca="1" si="1"/>
        <v>-3.5651419739291534E-2</v>
      </c>
      <c r="L17" s="254">
        <f t="shared" ca="1" si="1"/>
        <v>-0.14380418419397412</v>
      </c>
      <c r="M17" s="254">
        <f t="shared" ca="1" si="1"/>
        <v>-0.29648192570355203</v>
      </c>
      <c r="N17" s="254">
        <f t="shared" ca="1" si="1"/>
        <v>-0.5747129238094425</v>
      </c>
      <c r="O17" s="5"/>
    </row>
    <row r="18" spans="1:15" ht="15" customHeight="1" x14ac:dyDescent="0.3">
      <c r="A18" s="5"/>
      <c r="B18" s="256" t="s">
        <v>279</v>
      </c>
      <c r="C18" s="5"/>
      <c r="D18" s="249">
        <v>-37601</v>
      </c>
      <c r="E18" s="250">
        <f ca="1">'Forecasted 3 Statements'!I108</f>
        <v>-48187.079934049121</v>
      </c>
      <c r="F18" s="250">
        <f ca="1">'Forecasted 3 Statements'!J108</f>
        <v>-108602.34770603542</v>
      </c>
      <c r="G18" s="250">
        <f ca="1">'Forecasted 3 Statements'!K108</f>
        <v>-162311.20631458634</v>
      </c>
      <c r="H18" s="250">
        <f ca="1">'Forecasted 3 Statements'!L108</f>
        <v>-206780.28530729204</v>
      </c>
      <c r="I18" s="250">
        <f ca="1">'Forecasted 3 Statements'!M108</f>
        <v>-252380.24817973984</v>
      </c>
      <c r="J18" s="250">
        <f ca="1">'Forecasted 3 Statements'!N108</f>
        <v>-294358.59723671281</v>
      </c>
      <c r="K18" s="250">
        <f ca="1">'Forecasted 3 Statements'!O108</f>
        <v>-327085.08177266706</v>
      </c>
      <c r="L18" s="250">
        <f ca="1">'Forecasted 3 Statements'!P108</f>
        <v>-344998.8234085603</v>
      </c>
      <c r="M18" s="250">
        <f ca="1">'Forecasted 3 Statements'!Q108</f>
        <v>-343842.855104007</v>
      </c>
      <c r="N18" s="250">
        <f ca="1">'Forecasted 3 Statements'!R108</f>
        <v>-321883.93665664573</v>
      </c>
      <c r="O18" s="5"/>
    </row>
    <row r="19" spans="1:15" ht="15" customHeight="1" x14ac:dyDescent="0.3">
      <c r="A19" s="5"/>
      <c r="B19" s="251" t="s">
        <v>24</v>
      </c>
      <c r="C19" s="252"/>
      <c r="D19" s="255"/>
      <c r="E19" s="254">
        <f t="shared" ref="E19:N19" ca="1" si="2">E18/D18-1</f>
        <v>0.28153719140579025</v>
      </c>
      <c r="F19" s="254">
        <f t="shared" ca="1" si="2"/>
        <v>1.2537648650773856</v>
      </c>
      <c r="G19" s="254">
        <f t="shared" ca="1" si="2"/>
        <v>0.49454601804677312</v>
      </c>
      <c r="H19" s="254">
        <f t="shared" ca="1" si="2"/>
        <v>0.27397417592052875</v>
      </c>
      <c r="I19" s="254">
        <f t="shared" ca="1" si="2"/>
        <v>0.22052374482742687</v>
      </c>
      <c r="J19" s="254">
        <f t="shared" ca="1" si="2"/>
        <v>0.16632977168275431</v>
      </c>
      <c r="K19" s="254">
        <f t="shared" ca="1" si="2"/>
        <v>0.11117896621051226</v>
      </c>
      <c r="L19" s="254">
        <f t="shared" ca="1" si="2"/>
        <v>5.4767834530416781E-2</v>
      </c>
      <c r="M19" s="254">
        <f t="shared" ca="1" si="2"/>
        <v>-3.3506441938915277E-3</v>
      </c>
      <c r="N19" s="254">
        <f t="shared" ca="1" si="2"/>
        <v>-6.3863239039005371E-2</v>
      </c>
      <c r="O19" s="5"/>
    </row>
    <row r="20" spans="1:15" ht="15" customHeight="1" x14ac:dyDescent="0.3">
      <c r="A20" s="5"/>
      <c r="B20" s="257" t="s">
        <v>280</v>
      </c>
      <c r="C20" s="5"/>
      <c r="D20" s="69">
        <f>'Forecasted 3 Statements'!H40</f>
        <v>2367</v>
      </c>
      <c r="E20" s="68">
        <f ca="1">'Forecasted 3 Statements'!I40</f>
        <v>2953.545519350359</v>
      </c>
      <c r="F20" s="68">
        <f ca="1">'Forecasted 3 Statements'!J40</f>
        <v>3600.5878940306834</v>
      </c>
      <c r="G20" s="68">
        <f ca="1">'Forecasted 3 Statements'!K40</f>
        <v>4875.7528841288713</v>
      </c>
      <c r="H20" s="68">
        <f ca="1">'Forecasted 3 Statements'!L40</f>
        <v>6675.215516046409</v>
      </c>
      <c r="I20" s="68">
        <f ca="1">'Forecasted 3 Statements'!M40</f>
        <v>8824.0311493829213</v>
      </c>
      <c r="J20" s="68">
        <f ca="1">'Forecasted 3 Statements'!N40</f>
        <v>10998.528027127277</v>
      </c>
      <c r="K20" s="68">
        <f ca="1">'Forecasted 3 Statements'!O40</f>
        <v>13188.003635863506</v>
      </c>
      <c r="L20" s="68">
        <f ca="1">'Forecasted 3 Statements'!P40</f>
        <v>15183.17126033209</v>
      </c>
      <c r="M20" s="68">
        <f ca="1">'Forecasted 3 Statements'!Q40</f>
        <v>16750.916340105974</v>
      </c>
      <c r="N20" s="68">
        <f ca="1">'Forecasted 3 Statements'!R40</f>
        <v>17673.713623547537</v>
      </c>
      <c r="O20" s="5"/>
    </row>
    <row r="21" spans="1:15" ht="15" customHeight="1" x14ac:dyDescent="0.3">
      <c r="A21" s="5"/>
      <c r="B21" s="252" t="s">
        <v>24</v>
      </c>
      <c r="C21" s="252"/>
      <c r="D21" s="255"/>
      <c r="E21" s="254">
        <f t="shared" ref="E21:N21" ca="1" si="3">E20/D20-1</f>
        <v>0.24780123335460869</v>
      </c>
      <c r="F21" s="254">
        <f t="shared" ca="1" si="3"/>
        <v>0.21907310059763141</v>
      </c>
      <c r="G21" s="254">
        <f t="shared" ca="1" si="3"/>
        <v>0.35415466241283799</v>
      </c>
      <c r="H21" s="254">
        <f t="shared" ca="1" si="3"/>
        <v>0.36906354253001483</v>
      </c>
      <c r="I21" s="254">
        <f t="shared" ca="1" si="3"/>
        <v>0.32190955155994883</v>
      </c>
      <c r="J21" s="254">
        <f t="shared" ca="1" si="3"/>
        <v>0.24642896664031166</v>
      </c>
      <c r="K21" s="254">
        <f t="shared" ca="1" si="3"/>
        <v>0.19906987583574876</v>
      </c>
      <c r="L21" s="254">
        <f t="shared" ca="1" si="3"/>
        <v>0.15128655401966351</v>
      </c>
      <c r="M21" s="254">
        <f t="shared" ca="1" si="3"/>
        <v>0.10325544333875825</v>
      </c>
      <c r="N21" s="254">
        <f t="shared" ca="1" si="3"/>
        <v>5.5089361364198952E-2</v>
      </c>
      <c r="O21" s="5"/>
    </row>
    <row r="22" spans="1:15" ht="15" customHeight="1" x14ac:dyDescent="0.3">
      <c r="A22" s="5"/>
      <c r="B22" s="159" t="s">
        <v>281</v>
      </c>
      <c r="C22" s="247"/>
      <c r="D22" s="249">
        <f t="shared" ref="D22:N22" si="4">-D23*D20</f>
        <v>-1282.789588948787</v>
      </c>
      <c r="E22" s="250">
        <f t="shared" ca="1" si="4"/>
        <v>-384.07319195560586</v>
      </c>
      <c r="F22" s="250">
        <f t="shared" ca="1" si="4"/>
        <v>-468.21329697374966</v>
      </c>
      <c r="G22" s="250">
        <f t="shared" ca="1" si="4"/>
        <v>-634.03321910068985</v>
      </c>
      <c r="H22" s="250">
        <f t="shared" ca="1" si="4"/>
        <v>-868.03176502369945</v>
      </c>
      <c r="I22" s="250">
        <f t="shared" ca="1" si="4"/>
        <v>-1147.4594812422695</v>
      </c>
      <c r="J22" s="250">
        <f t="shared" ca="1" si="4"/>
        <v>-1430.22673546643</v>
      </c>
      <c r="K22" s="250">
        <f t="shared" ca="1" si="4"/>
        <v>-1714.9417941127006</v>
      </c>
      <c r="L22" s="250">
        <f t="shared" ca="1" si="4"/>
        <v>-1974.3894284883104</v>
      </c>
      <c r="M22" s="250">
        <f t="shared" ca="1" si="4"/>
        <v>-2178.2558842502285</v>
      </c>
      <c r="N22" s="250">
        <f t="shared" ca="1" si="4"/>
        <v>-2298.2546098013822</v>
      </c>
      <c r="O22" s="5"/>
    </row>
    <row r="23" spans="1:15" ht="15" customHeight="1" x14ac:dyDescent="0.3">
      <c r="A23" s="5"/>
      <c r="B23" s="3" t="s">
        <v>226</v>
      </c>
      <c r="C23" s="247"/>
      <c r="D23" s="258">
        <f>'Forecasted 3 Statements'!H45</f>
        <v>0.54194743935309975</v>
      </c>
      <c r="E23" s="259">
        <f>'Forecasted 3 Statements'!I45</f>
        <v>0.13003801344496763</v>
      </c>
      <c r="F23" s="259">
        <f>'Forecasted 3 Statements'!J45</f>
        <v>0.13003801344496763</v>
      </c>
      <c r="G23" s="259">
        <f>'Forecasted 3 Statements'!K45</f>
        <v>0.13003801344496763</v>
      </c>
      <c r="H23" s="259">
        <f>'Forecasted 3 Statements'!L45</f>
        <v>0.13003801344496763</v>
      </c>
      <c r="I23" s="259">
        <f>'Forecasted 3 Statements'!M45</f>
        <v>0.13003801344496763</v>
      </c>
      <c r="J23" s="259">
        <f>'Forecasted 3 Statements'!N45</f>
        <v>0.13003801344496763</v>
      </c>
      <c r="K23" s="259">
        <f>'Forecasted 3 Statements'!O45</f>
        <v>0.13003801344496763</v>
      </c>
      <c r="L23" s="259">
        <f>'Forecasted 3 Statements'!P45</f>
        <v>0.13003801344496763</v>
      </c>
      <c r="M23" s="259">
        <f>'Forecasted 3 Statements'!Q45</f>
        <v>0.13003801344496763</v>
      </c>
      <c r="N23" s="259">
        <f>'Forecasted 3 Statements'!R45</f>
        <v>0.13003801344496763</v>
      </c>
      <c r="O23" s="5"/>
    </row>
    <row r="24" spans="1:15" ht="15" customHeight="1" x14ac:dyDescent="0.3">
      <c r="A24" s="5"/>
      <c r="B24" s="260" t="s">
        <v>282</v>
      </c>
      <c r="C24" s="260"/>
      <c r="D24" s="261">
        <f t="shared" ref="D24:N24" si="5">D14+D16+D18+D20+D22</f>
        <v>36258.210411051215</v>
      </c>
      <c r="E24" s="262">
        <f t="shared" ca="1" si="5"/>
        <v>45035.448136482002</v>
      </c>
      <c r="F24" s="262">
        <f t="shared" ca="1" si="5"/>
        <v>710.17338525309356</v>
      </c>
      <c r="G24" s="262">
        <f t="shared" ca="1" si="5"/>
        <v>-17127.653218636551</v>
      </c>
      <c r="H24" s="262">
        <f t="shared" ca="1" si="5"/>
        <v>-10818.518004677078</v>
      </c>
      <c r="I24" s="262">
        <f t="shared" ca="1" si="5"/>
        <v>2634.7631106112131</v>
      </c>
      <c r="J24" s="262">
        <f t="shared" ca="1" si="5"/>
        <v>25134.19599072534</v>
      </c>
      <c r="K24" s="262">
        <f t="shared" ca="1" si="5"/>
        <v>57670.306066379293</v>
      </c>
      <c r="L24" s="262">
        <f t="shared" ca="1" si="5"/>
        <v>99652.535119393375</v>
      </c>
      <c r="M24" s="262">
        <f t="shared" ca="1" si="5"/>
        <v>148416.89380644533</v>
      </c>
      <c r="N24" s="262">
        <f t="shared" ca="1" si="5"/>
        <v>199158.55212667718</v>
      </c>
      <c r="O24" s="5"/>
    </row>
    <row r="25" spans="1:15" ht="15" customHeight="1" x14ac:dyDescent="0.3">
      <c r="A25" s="5"/>
      <c r="B25" s="5"/>
      <c r="C25" s="5"/>
      <c r="D25" s="26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5" customHeight="1" x14ac:dyDescent="0.3">
      <c r="A26" s="5"/>
      <c r="B26" s="219" t="s">
        <v>283</v>
      </c>
      <c r="C26" s="220"/>
      <c r="D26" s="263"/>
      <c r="E26" s="5"/>
      <c r="F26" s="263"/>
      <c r="G26" s="263"/>
      <c r="H26" s="263"/>
      <c r="I26" s="263"/>
      <c r="J26" s="263"/>
      <c r="K26" s="263"/>
      <c r="L26" s="263"/>
      <c r="M26" s="263"/>
      <c r="N26" s="263"/>
      <c r="O26" s="263"/>
    </row>
    <row r="27" spans="1:15" ht="15" customHeight="1" x14ac:dyDescent="0.3">
      <c r="A27" s="5"/>
      <c r="B27" s="208"/>
      <c r="C27" s="5"/>
      <c r="D27" s="242" t="s">
        <v>284</v>
      </c>
      <c r="E27" s="242" t="s">
        <v>285</v>
      </c>
      <c r="F27" s="242" t="s">
        <v>286</v>
      </c>
      <c r="G27" s="242" t="s">
        <v>287</v>
      </c>
      <c r="H27" s="242" t="s">
        <v>288</v>
      </c>
      <c r="I27" s="242" t="s">
        <v>289</v>
      </c>
      <c r="J27" s="242" t="s">
        <v>290</v>
      </c>
      <c r="K27" s="242" t="s">
        <v>291</v>
      </c>
      <c r="L27" s="242" t="s">
        <v>292</v>
      </c>
      <c r="M27" s="242" t="s">
        <v>293</v>
      </c>
      <c r="N27" s="242" t="s">
        <v>294</v>
      </c>
      <c r="O27" s="263"/>
    </row>
    <row r="28" spans="1:15" ht="15" customHeight="1" x14ac:dyDescent="0.3">
      <c r="A28" s="5"/>
      <c r="B28" s="220" t="s">
        <v>295</v>
      </c>
      <c r="C28" s="264"/>
      <c r="D28" s="265">
        <f>D7</f>
        <v>45273</v>
      </c>
      <c r="E28" s="265">
        <f>D6</f>
        <v>45291</v>
      </c>
      <c r="F28" s="246">
        <v>45657</v>
      </c>
      <c r="G28" s="246">
        <v>46022</v>
      </c>
      <c r="H28" s="246">
        <v>46387</v>
      </c>
      <c r="I28" s="246">
        <v>46752</v>
      </c>
      <c r="J28" s="246">
        <v>47118</v>
      </c>
      <c r="K28" s="246">
        <v>47483</v>
      </c>
      <c r="L28" s="246">
        <v>47848</v>
      </c>
      <c r="M28" s="246">
        <v>48213</v>
      </c>
      <c r="N28" s="246">
        <v>48579</v>
      </c>
      <c r="O28" s="263"/>
    </row>
    <row r="29" spans="1:15" ht="15" customHeight="1" x14ac:dyDescent="0.3">
      <c r="A29" s="5"/>
      <c r="B29" s="5" t="s">
        <v>296</v>
      </c>
      <c r="C29" s="266">
        <f>D8</f>
        <v>0.05</v>
      </c>
      <c r="D29" s="5"/>
      <c r="E29" s="267">
        <f ca="1">C29*E24</f>
        <v>2251.7724068241</v>
      </c>
      <c r="F29" s="267">
        <f t="shared" ref="F29:N29" ca="1" si="6">F24</f>
        <v>710.17338525309356</v>
      </c>
      <c r="G29" s="267">
        <f t="shared" ca="1" si="6"/>
        <v>-17127.653218636551</v>
      </c>
      <c r="H29" s="267">
        <f t="shared" ca="1" si="6"/>
        <v>-10818.518004677078</v>
      </c>
      <c r="I29" s="267">
        <f t="shared" ca="1" si="6"/>
        <v>2634.7631106112131</v>
      </c>
      <c r="J29" s="267">
        <f t="shared" ca="1" si="6"/>
        <v>25134.19599072534</v>
      </c>
      <c r="K29" s="267">
        <f t="shared" ca="1" si="6"/>
        <v>57670.306066379293</v>
      </c>
      <c r="L29" s="267">
        <f t="shared" ca="1" si="6"/>
        <v>99652.535119393375</v>
      </c>
      <c r="M29" s="267">
        <f t="shared" ca="1" si="6"/>
        <v>148416.89380644533</v>
      </c>
      <c r="N29" s="267">
        <f t="shared" ca="1" si="6"/>
        <v>199158.55212667718</v>
      </c>
      <c r="O29" s="5"/>
    </row>
    <row r="30" spans="1:15" ht="15" customHeight="1" x14ac:dyDescent="0.3">
      <c r="A30" s="5"/>
      <c r="B30" s="208" t="s">
        <v>297</v>
      </c>
      <c r="C30" s="208"/>
      <c r="D30" s="5"/>
      <c r="E30" s="53">
        <f t="shared" ref="E30:N30" ca="1" si="7">E29/(1+WACC)^((E28-$D$28)/365)</f>
        <v>2242.0937695831662</v>
      </c>
      <c r="F30" s="53">
        <f t="shared" ca="1" si="7"/>
        <v>647.82197332348528</v>
      </c>
      <c r="G30" s="53">
        <f t="shared" ca="1" si="7"/>
        <v>-14317.100572736405</v>
      </c>
      <c r="H30" s="53">
        <f t="shared" ca="1" si="7"/>
        <v>-8286.8774993709758</v>
      </c>
      <c r="I30" s="53">
        <f t="shared" ca="1" si="7"/>
        <v>1849.3991482695308</v>
      </c>
      <c r="J30" s="53">
        <f t="shared" ca="1" si="7"/>
        <v>16162.780673350097</v>
      </c>
      <c r="K30" s="53">
        <f t="shared" ca="1" si="7"/>
        <v>33983.591209733502</v>
      </c>
      <c r="L30" s="53">
        <f t="shared" ca="1" si="7"/>
        <v>53811.029183000181</v>
      </c>
      <c r="M30" s="53">
        <f t="shared" ca="1" si="7"/>
        <v>73439.923751573253</v>
      </c>
      <c r="N30" s="53">
        <f t="shared" ca="1" si="7"/>
        <v>90283.802669436292</v>
      </c>
      <c r="O30" s="5"/>
    </row>
    <row r="31" spans="1:15" ht="1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4.4" x14ac:dyDescent="0.3">
      <c r="A32" s="5"/>
      <c r="B32" s="219" t="s">
        <v>298</v>
      </c>
      <c r="C32" s="219"/>
      <c r="D32" s="5"/>
      <c r="E32" s="219" t="s">
        <v>299</v>
      </c>
      <c r="F32" s="219"/>
      <c r="G32" s="219"/>
      <c r="H32" s="5"/>
      <c r="I32" s="5"/>
      <c r="J32" s="5"/>
      <c r="K32" s="5"/>
      <c r="L32" s="5"/>
      <c r="M32" s="5"/>
      <c r="N32" s="5"/>
      <c r="O32" s="5"/>
    </row>
    <row r="33" spans="1:15" ht="14.4" x14ac:dyDescent="0.3">
      <c r="A33" s="5"/>
      <c r="B33" s="5" t="s">
        <v>300</v>
      </c>
      <c r="C33" s="268">
        <v>3.1899999999999998E-2</v>
      </c>
      <c r="D33" s="5"/>
      <c r="F33" s="82"/>
      <c r="G33" s="269">
        <f t="shared" ref="G33:J33" si="8">H33-1</f>
        <v>2018</v>
      </c>
      <c r="H33" s="269">
        <f t="shared" si="8"/>
        <v>2019</v>
      </c>
      <c r="I33" s="269">
        <f t="shared" si="8"/>
        <v>2020</v>
      </c>
      <c r="J33" s="269">
        <f t="shared" si="8"/>
        <v>2021</v>
      </c>
      <c r="K33" s="269">
        <f>YEAR(D4)</f>
        <v>2022</v>
      </c>
      <c r="L33" s="269" t="s">
        <v>301</v>
      </c>
      <c r="M33" s="250"/>
      <c r="N33" s="250"/>
      <c r="O33" s="5"/>
    </row>
    <row r="34" spans="1:15" ht="14.4" x14ac:dyDescent="0.3">
      <c r="A34" s="5"/>
      <c r="B34" s="5" t="s">
        <v>302</v>
      </c>
      <c r="C34" s="250">
        <f ca="1">N24*(1+C33)</f>
        <v>205511.70993951819</v>
      </c>
      <c r="D34" s="5"/>
      <c r="E34" s="13"/>
      <c r="F34" s="13"/>
      <c r="G34" s="270">
        <f t="shared" ref="G34:I34" si="9">EOMONTH(H34,-12)</f>
        <v>43465</v>
      </c>
      <c r="H34" s="270">
        <f t="shared" si="9"/>
        <v>43830</v>
      </c>
      <c r="I34" s="270">
        <f t="shared" si="9"/>
        <v>44196</v>
      </c>
      <c r="J34" s="270">
        <v>44561</v>
      </c>
      <c r="K34" s="270">
        <v>44926</v>
      </c>
      <c r="L34" s="270">
        <v>45199</v>
      </c>
      <c r="M34" s="271"/>
      <c r="N34" s="271"/>
      <c r="O34" s="272"/>
    </row>
    <row r="35" spans="1:15" ht="14.4" x14ac:dyDescent="0.3">
      <c r="A35" s="5"/>
      <c r="B35" s="5" t="s">
        <v>303</v>
      </c>
      <c r="C35" s="250">
        <f ca="1">C34/(WACC-LTG)</f>
        <v>3461270.1182699366</v>
      </c>
      <c r="D35" s="5"/>
      <c r="E35" s="5" t="s">
        <v>304</v>
      </c>
      <c r="G35" s="48">
        <f>SUM('Forecasted 3 Statements'!D59:D60)</f>
        <v>41250</v>
      </c>
      <c r="H35" s="48">
        <f>SUM('Forecasted 3 Statements'!E59:E60)</f>
        <v>55021</v>
      </c>
      <c r="I35" s="48">
        <f>SUM('Forecasted 3 Statements'!F59:F60)</f>
        <v>84396</v>
      </c>
      <c r="J35" s="48">
        <f>SUM('Forecasted 3 Statements'!G59:G60)</f>
        <v>96049</v>
      </c>
      <c r="K35" s="48">
        <f>SUM('Forecasted 3 Statements'!H59:H60)</f>
        <v>70026</v>
      </c>
      <c r="L35" s="250">
        <f>49605+14564</f>
        <v>64169</v>
      </c>
      <c r="M35" s="250"/>
      <c r="N35" s="250"/>
      <c r="O35" s="5"/>
    </row>
    <row r="36" spans="1:15" ht="14.4" x14ac:dyDescent="0.3">
      <c r="A36" s="5"/>
      <c r="B36" s="5" t="s">
        <v>305</v>
      </c>
      <c r="C36" s="250">
        <f ca="1">C35/(1+WACC)^((N28-D28)/365)</f>
        <v>1569084.6564536789</v>
      </c>
      <c r="D36" s="5"/>
      <c r="E36" s="5" t="s">
        <v>306</v>
      </c>
      <c r="G36" s="48">
        <f>'Forecasted 3 Statements'!D23</f>
        <v>232887</v>
      </c>
      <c r="H36" s="48">
        <f>'Forecasted 3 Statements'!E23</f>
        <v>280522</v>
      </c>
      <c r="I36" s="48">
        <f>'Forecasted 3 Statements'!F23</f>
        <v>386064</v>
      </c>
      <c r="J36" s="48">
        <f>'Forecasted 3 Statements'!G23</f>
        <v>469822</v>
      </c>
      <c r="K36" s="48">
        <f>'Forecasted 3 Statements'!H23</f>
        <v>513983</v>
      </c>
      <c r="L36" s="250">
        <v>404824</v>
      </c>
      <c r="M36" s="250"/>
      <c r="N36" s="250"/>
      <c r="O36" s="5"/>
    </row>
    <row r="37" spans="1:15" ht="14.4" x14ac:dyDescent="0.3">
      <c r="A37" s="5"/>
      <c r="B37" s="5" t="s">
        <v>307</v>
      </c>
      <c r="C37" s="250">
        <f ca="1">SUM(E30:N30)</f>
        <v>249816.46430616212</v>
      </c>
      <c r="D37" s="5"/>
      <c r="E37" s="5" t="s">
        <v>308</v>
      </c>
      <c r="G37" s="48">
        <f>'Forecasted 3 Statements'!D83</f>
        <v>19625</v>
      </c>
      <c r="H37" s="48">
        <f>'Forecasted 3 Statements'!E83</f>
        <v>31220</v>
      </c>
      <c r="I37" s="48">
        <f>'Forecasted 3 Statements'!F83</f>
        <v>52551</v>
      </c>
      <c r="J37" s="48">
        <f>'Forecasted 3 Statements'!G83</f>
        <v>85915</v>
      </c>
      <c r="K37" s="48">
        <f>'Forecasted 3 Statements'!H83</f>
        <v>83193</v>
      </c>
      <c r="L37" s="78">
        <v>102994</v>
      </c>
      <c r="M37" s="250"/>
      <c r="N37" s="250"/>
      <c r="O37" s="5"/>
    </row>
    <row r="38" spans="1:15" ht="14.4" x14ac:dyDescent="0.3">
      <c r="A38" s="5"/>
      <c r="B38" s="208" t="s">
        <v>309</v>
      </c>
      <c r="C38" s="273">
        <f ca="1">SUM(C36:C37)</f>
        <v>1818901.1207598411</v>
      </c>
      <c r="D38" s="272"/>
      <c r="E38" s="5" t="s">
        <v>310</v>
      </c>
      <c r="G38" s="33">
        <f t="shared" ref="G38:L38" si="10">G35/G36</f>
        <v>0.17712452820466579</v>
      </c>
      <c r="H38" s="33">
        <f t="shared" si="10"/>
        <v>0.19613791431688068</v>
      </c>
      <c r="I38" s="33">
        <f t="shared" si="10"/>
        <v>0.21860624145219446</v>
      </c>
      <c r="J38" s="33">
        <f t="shared" si="10"/>
        <v>0.20443699954450834</v>
      </c>
      <c r="K38" s="33">
        <f t="shared" si="10"/>
        <v>0.13624186013934314</v>
      </c>
      <c r="L38" s="238">
        <f t="shared" si="10"/>
        <v>0.15851085903997786</v>
      </c>
      <c r="M38" s="273" t="s">
        <v>311</v>
      </c>
      <c r="N38" s="274">
        <f>AVERAGE(G38:L38)</f>
        <v>0.18184306711626172</v>
      </c>
      <c r="O38" s="208"/>
    </row>
    <row r="39" spans="1:15" ht="14.4" x14ac:dyDescent="0.3">
      <c r="A39" s="5"/>
      <c r="B39" s="5"/>
      <c r="C39" s="5"/>
      <c r="D39" s="5"/>
      <c r="E39" s="275" t="s">
        <v>312</v>
      </c>
      <c r="F39" s="208"/>
      <c r="G39" s="208"/>
      <c r="H39" s="5"/>
      <c r="I39" s="5"/>
      <c r="J39" s="5"/>
      <c r="K39" s="5"/>
      <c r="L39" s="5"/>
      <c r="M39" s="5"/>
      <c r="N39" s="5"/>
      <c r="O39" s="5"/>
    </row>
    <row r="40" spans="1:15" ht="14.4" x14ac:dyDescent="0.3">
      <c r="A40" s="5"/>
      <c r="B40" s="3" t="s">
        <v>313</v>
      </c>
      <c r="C40" s="276">
        <f ca="1">C36/C38</f>
        <v>0.86265528045757534</v>
      </c>
      <c r="D40" s="5"/>
      <c r="E40" s="5" t="s">
        <v>314</v>
      </c>
      <c r="F40" s="208"/>
      <c r="G40" s="208"/>
      <c r="H40" s="5"/>
      <c r="I40" s="276"/>
      <c r="J40" s="276"/>
      <c r="K40" s="276"/>
      <c r="L40" s="276"/>
      <c r="M40" s="276"/>
      <c r="N40" s="276"/>
      <c r="O40" s="247"/>
    </row>
    <row r="41" spans="1:15" ht="14.4" x14ac:dyDescent="0.3">
      <c r="A41" s="5"/>
      <c r="B41" s="3" t="s">
        <v>315</v>
      </c>
      <c r="C41" s="276">
        <f ca="1">C37/C38</f>
        <v>0.13734471954242458</v>
      </c>
      <c r="D41" s="5"/>
      <c r="E41" s="5" t="s">
        <v>316</v>
      </c>
      <c r="F41" s="208"/>
      <c r="G41" s="208"/>
      <c r="H41" s="5"/>
      <c r="I41" s="276"/>
      <c r="J41" s="276"/>
      <c r="K41" s="276"/>
      <c r="L41" s="276"/>
      <c r="M41" s="276"/>
      <c r="N41" s="276"/>
      <c r="O41" s="5"/>
    </row>
    <row r="42" spans="1:15" ht="14.4" x14ac:dyDescent="0.3">
      <c r="A42" s="5"/>
      <c r="B42" s="3"/>
      <c r="C42" s="247"/>
      <c r="D42" s="247"/>
      <c r="E42" s="247" t="s">
        <v>317</v>
      </c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ht="14.4" x14ac:dyDescent="0.3">
      <c r="A43" s="5"/>
      <c r="B43" s="208"/>
      <c r="C43" s="5"/>
      <c r="D43" s="24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ht="14.4" x14ac:dyDescent="0.3">
      <c r="A44" s="5"/>
      <c r="B44" s="208" t="s">
        <v>318</v>
      </c>
      <c r="C44" s="5"/>
      <c r="D44" s="24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ht="14.4" x14ac:dyDescent="0.3">
      <c r="A45" s="5"/>
      <c r="B45" s="82" t="s">
        <v>15</v>
      </c>
      <c r="C45" s="242"/>
      <c r="D45" s="269"/>
      <c r="E45" s="277">
        <v>2023</v>
      </c>
      <c r="F45" s="277">
        <v>2024</v>
      </c>
      <c r="G45" s="277">
        <v>2025</v>
      </c>
      <c r="H45" s="277">
        <v>2026</v>
      </c>
      <c r="I45" s="277">
        <v>2027</v>
      </c>
      <c r="J45" s="277">
        <v>2028</v>
      </c>
      <c r="K45" s="277">
        <v>2029</v>
      </c>
      <c r="L45" s="277">
        <v>2030</v>
      </c>
      <c r="M45" s="277">
        <v>2031</v>
      </c>
      <c r="N45" s="277">
        <v>2032</v>
      </c>
      <c r="O45" s="5"/>
    </row>
    <row r="46" spans="1:15" ht="14.4" x14ac:dyDescent="0.3">
      <c r="A46" s="5"/>
      <c r="B46" s="17" t="s">
        <v>16</v>
      </c>
      <c r="C46" s="244"/>
      <c r="D46" s="246"/>
      <c r="E46" s="246">
        <v>45291</v>
      </c>
      <c r="F46" s="246">
        <v>45657</v>
      </c>
      <c r="G46" s="246">
        <v>46022</v>
      </c>
      <c r="H46" s="246">
        <v>46387</v>
      </c>
      <c r="I46" s="246">
        <v>46752</v>
      </c>
      <c r="J46" s="246">
        <v>47118</v>
      </c>
      <c r="K46" s="246">
        <v>47483</v>
      </c>
      <c r="L46" s="246">
        <v>47848</v>
      </c>
      <c r="M46" s="246">
        <v>48213</v>
      </c>
      <c r="N46" s="246">
        <v>48579</v>
      </c>
      <c r="O46" s="5"/>
    </row>
    <row r="47" spans="1:15" ht="14.4" x14ac:dyDescent="0.3">
      <c r="A47" s="5"/>
      <c r="B47" s="5" t="s">
        <v>319</v>
      </c>
      <c r="C47" s="208"/>
      <c r="D47" s="5"/>
      <c r="E47" s="68">
        <f ca="1">'Forecasted 3 Statements'!I40</f>
        <v>2953.545519350359</v>
      </c>
      <c r="F47" s="68">
        <f ca="1">'Forecasted 3 Statements'!J40</f>
        <v>3600.5878940306834</v>
      </c>
      <c r="G47" s="68">
        <f ca="1">'Forecasted 3 Statements'!K40</f>
        <v>4875.7528841288713</v>
      </c>
      <c r="H47" s="68">
        <f ca="1">'Forecasted 3 Statements'!L40</f>
        <v>6675.215516046409</v>
      </c>
      <c r="I47" s="68">
        <f ca="1">'Forecasted 3 Statements'!M40</f>
        <v>8824.0311493829213</v>
      </c>
      <c r="J47" s="68">
        <f ca="1">'Forecasted 3 Statements'!N40</f>
        <v>10998.528027127277</v>
      </c>
      <c r="K47" s="68">
        <f ca="1">'Forecasted 3 Statements'!O40</f>
        <v>13188.003635863506</v>
      </c>
      <c r="L47" s="68">
        <f ca="1">'Forecasted 3 Statements'!P40</f>
        <v>15183.17126033209</v>
      </c>
      <c r="M47" s="68">
        <f ca="1">'Forecasted 3 Statements'!Q40</f>
        <v>16750.916340105974</v>
      </c>
      <c r="N47" s="68">
        <f ca="1">'Forecasted 3 Statements'!R40</f>
        <v>17673.713623547537</v>
      </c>
    </row>
    <row r="48" spans="1:15" ht="14.4" x14ac:dyDescent="0.3">
      <c r="A48" s="5"/>
      <c r="B48" s="5" t="s">
        <v>320</v>
      </c>
      <c r="C48" s="208"/>
      <c r="D48" s="208"/>
      <c r="E48" s="68">
        <f ca="1">Schedules!H98-Schedules!G98</f>
        <v>8998.4044368551549</v>
      </c>
      <c r="F48" s="68">
        <f ca="1">Schedules!I98-Schedules!H98</f>
        <v>23867.434694432202</v>
      </c>
      <c r="G48" s="68">
        <f ca="1">Schedules!J98-Schedules!I98</f>
        <v>40805.377690058493</v>
      </c>
      <c r="H48" s="68">
        <f ca="1">Schedules!K98-Schedules!J98</f>
        <v>48815.435008754052</v>
      </c>
      <c r="I48" s="68">
        <f ca="1">Schedules!L98-Schedules!K98</f>
        <v>55036.628130416211</v>
      </c>
      <c r="J48" s="68">
        <f ca="1">Schedules!M98-Schedules!L98</f>
        <v>57877.852025419677</v>
      </c>
      <c r="K48" s="68">
        <f ca="1">Schedules!N98-Schedules!M98</f>
        <v>55814.42442925286</v>
      </c>
      <c r="L48" s="68">
        <f ca="1">Schedules!O98-Schedules!N98</f>
        <v>47788.076657947851</v>
      </c>
      <c r="M48" s="68">
        <f ca="1">Schedules!P98-Schedules!O98</f>
        <v>33619.775664730638</v>
      </c>
      <c r="N48" s="68">
        <f ca="1">Schedules!Q98-Schedules!P98</f>
        <v>14298.056094635627</v>
      </c>
    </row>
    <row r="49" spans="1:15" ht="14.4" x14ac:dyDescent="0.3">
      <c r="A49" s="5"/>
      <c r="B49" s="5" t="s">
        <v>321</v>
      </c>
      <c r="C49" s="208"/>
      <c r="D49" s="208"/>
      <c r="E49" s="53">
        <f ca="1">(E47-E48)*C29</f>
        <v>-302.24294587523985</v>
      </c>
      <c r="F49" s="53">
        <f t="shared" ref="F49:N49" ca="1" si="11">F47-F48</f>
        <v>-20266.846800401519</v>
      </c>
      <c r="G49" s="53">
        <f t="shared" ca="1" si="11"/>
        <v>-35929.624805929619</v>
      </c>
      <c r="H49" s="53">
        <f t="shared" ca="1" si="11"/>
        <v>-42140.219492707642</v>
      </c>
      <c r="I49" s="53">
        <f t="shared" ca="1" si="11"/>
        <v>-46212.59698103329</v>
      </c>
      <c r="J49" s="53">
        <f t="shared" ca="1" si="11"/>
        <v>-46879.323998292399</v>
      </c>
      <c r="K49" s="53">
        <f t="shared" ca="1" si="11"/>
        <v>-42626.420793389356</v>
      </c>
      <c r="L49" s="53">
        <f t="shared" ca="1" si="11"/>
        <v>-32604.905397615759</v>
      </c>
      <c r="M49" s="53">
        <f t="shared" ca="1" si="11"/>
        <v>-16868.859324624664</v>
      </c>
      <c r="N49" s="53">
        <f t="shared" ca="1" si="11"/>
        <v>3375.65752891191</v>
      </c>
    </row>
    <row r="50" spans="1:15" ht="14.4" x14ac:dyDescent="0.3">
      <c r="A50" s="5"/>
      <c r="B50" s="5" t="s">
        <v>322</v>
      </c>
      <c r="C50" s="208"/>
      <c r="D50" s="208"/>
      <c r="E50" s="53">
        <f t="shared" ref="E50:N50" ca="1" si="12">E49/((1+CODPT)^((E28-$D$28)/365))</f>
        <v>-301.63251618406252</v>
      </c>
      <c r="F50" s="53">
        <f t="shared" ca="1" si="12"/>
        <v>-19411.324244255833</v>
      </c>
      <c r="G50" s="53">
        <f t="shared" ca="1" si="12"/>
        <v>-33030.67404468669</v>
      </c>
      <c r="H50" s="53">
        <f t="shared" ca="1" si="12"/>
        <v>-37184.104100146084</v>
      </c>
      <c r="I50" s="53">
        <f t="shared" ca="1" si="12"/>
        <v>-39139.626643679469</v>
      </c>
      <c r="J50" s="53">
        <f t="shared" ca="1" si="12"/>
        <v>-38105.234630689796</v>
      </c>
      <c r="K50" s="53">
        <f t="shared" ca="1" si="12"/>
        <v>-33256.607293724963</v>
      </c>
      <c r="L50" s="53">
        <f t="shared" ca="1" si="12"/>
        <v>-24416.184245304132</v>
      </c>
      <c r="M50" s="53">
        <f t="shared" ca="1" si="12"/>
        <v>-12124.849043470225</v>
      </c>
      <c r="N50" s="53">
        <f t="shared" ca="1" si="12"/>
        <v>2328.6059317426543</v>
      </c>
    </row>
    <row r="51" spans="1:15" ht="14.4" x14ac:dyDescent="0.3">
      <c r="A51" s="5"/>
      <c r="B51" s="5" t="s">
        <v>323</v>
      </c>
      <c r="C51" s="250">
        <f ca="1">N49*(1+LTG)</f>
        <v>3483.3410040842</v>
      </c>
      <c r="D51" s="208"/>
      <c r="E51" s="208"/>
      <c r="F51" s="208"/>
      <c r="G51" s="208"/>
      <c r="H51" s="208"/>
      <c r="I51" s="208"/>
      <c r="K51" s="5"/>
      <c r="L51" s="5"/>
    </row>
    <row r="52" spans="1:15" ht="14.4" x14ac:dyDescent="0.3">
      <c r="A52" s="5"/>
      <c r="B52" s="5" t="s">
        <v>324</v>
      </c>
      <c r="C52" s="250">
        <f ca="1">C51/(WACC!C6-C33)</f>
        <v>350166.48141449998</v>
      </c>
      <c r="D52" s="208"/>
      <c r="E52" s="208"/>
      <c r="F52" s="208"/>
      <c r="G52" s="208"/>
      <c r="H52" s="208"/>
      <c r="I52" s="208"/>
      <c r="K52" s="5"/>
      <c r="L52" s="5"/>
    </row>
    <row r="53" spans="1:15" ht="14.4" x14ac:dyDescent="0.3">
      <c r="A53" s="5"/>
      <c r="B53" s="7" t="s">
        <v>325</v>
      </c>
      <c r="C53" s="250">
        <f ca="1">C52/(1+WACC!C6)^((N28-D28)/365)</f>
        <v>241552.8645117296</v>
      </c>
      <c r="D53" s="208"/>
      <c r="E53" s="208"/>
      <c r="F53" s="208"/>
      <c r="G53" s="208"/>
      <c r="H53" s="208"/>
      <c r="I53" s="208"/>
      <c r="K53" s="5"/>
      <c r="L53" s="5"/>
    </row>
    <row r="54" spans="1:15" ht="14.4" x14ac:dyDescent="0.3">
      <c r="A54" s="5"/>
      <c r="B54" s="7" t="s">
        <v>326</v>
      </c>
      <c r="C54" s="250">
        <f ca="1">SUM(E50:M50)</f>
        <v>-236970.23676214123</v>
      </c>
      <c r="D54" s="208"/>
      <c r="E54" s="208"/>
      <c r="F54" s="208"/>
      <c r="G54" s="208"/>
      <c r="H54" s="208"/>
      <c r="I54" s="208"/>
      <c r="K54" s="5"/>
      <c r="L54" s="5"/>
    </row>
    <row r="55" spans="1:15" ht="14.4" x14ac:dyDescent="0.3">
      <c r="A55" s="5"/>
      <c r="B55" s="208" t="s">
        <v>327</v>
      </c>
      <c r="C55" s="278">
        <f ca="1">SUM(C53:C54)</f>
        <v>4582.6277495883696</v>
      </c>
      <c r="D55" s="208"/>
      <c r="E55" s="208"/>
      <c r="F55" s="208"/>
      <c r="G55" s="208"/>
      <c r="H55" s="208"/>
      <c r="I55" s="208"/>
      <c r="K55" s="5"/>
      <c r="L55" s="5"/>
    </row>
    <row r="56" spans="1:15" ht="14.4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ht="14.4" x14ac:dyDescent="0.3">
      <c r="A57" s="5"/>
      <c r="B57" s="219" t="s">
        <v>328</v>
      </c>
      <c r="C57" s="219"/>
      <c r="M57" s="5"/>
      <c r="N57" s="5"/>
      <c r="O57" s="5"/>
    </row>
    <row r="58" spans="1:15" ht="14.4" x14ac:dyDescent="0.3">
      <c r="A58" s="5"/>
      <c r="B58" s="5"/>
      <c r="C58" s="279" t="s">
        <v>329</v>
      </c>
      <c r="F58" s="219" t="s">
        <v>330</v>
      </c>
      <c r="G58" s="219"/>
      <c r="H58" s="219"/>
      <c r="I58" s="219"/>
      <c r="J58" s="219"/>
      <c r="K58" s="219"/>
      <c r="L58" s="219"/>
      <c r="M58" s="5"/>
      <c r="N58" s="5"/>
      <c r="O58" s="5"/>
    </row>
    <row r="59" spans="1:15" ht="14.4" x14ac:dyDescent="0.3">
      <c r="A59" s="5"/>
      <c r="B59" s="5" t="s">
        <v>331</v>
      </c>
      <c r="C59" s="250">
        <f ca="1">C38</f>
        <v>1818901.1207598411</v>
      </c>
      <c r="F59" s="302" t="s">
        <v>332</v>
      </c>
      <c r="G59" s="300"/>
      <c r="H59" s="300"/>
      <c r="I59" s="300"/>
      <c r="J59" s="300"/>
      <c r="K59" s="300"/>
      <c r="L59" s="300"/>
      <c r="M59" s="5"/>
      <c r="N59" s="5"/>
      <c r="O59" s="5"/>
    </row>
    <row r="60" spans="1:15" ht="14.4" x14ac:dyDescent="0.3">
      <c r="A60" s="5"/>
      <c r="B60" s="5" t="s">
        <v>333</v>
      </c>
      <c r="C60" s="250">
        <f ca="1">C55</f>
        <v>4582.6277495883696</v>
      </c>
      <c r="F60" s="303" t="s">
        <v>334</v>
      </c>
      <c r="G60" s="300"/>
      <c r="H60" s="300"/>
      <c r="I60" s="300"/>
      <c r="J60" s="300"/>
      <c r="K60" s="300"/>
      <c r="L60" s="300"/>
      <c r="M60" s="5"/>
      <c r="N60" s="5"/>
      <c r="O60" s="5"/>
    </row>
    <row r="61" spans="1:15" ht="14.4" x14ac:dyDescent="0.3">
      <c r="A61" s="5"/>
      <c r="B61" s="5" t="s">
        <v>335</v>
      </c>
      <c r="C61" s="250">
        <f ca="1">C59-C60</f>
        <v>1814318.4930102527</v>
      </c>
      <c r="F61" s="7"/>
      <c r="G61" s="288">
        <f ca="1">C67</f>
        <v>191.04527698767012</v>
      </c>
      <c r="H61" s="280">
        <f>I61-0.1%</f>
        <v>2.9899999999999996E-2</v>
      </c>
      <c r="I61" s="280">
        <f>J61-0.1%</f>
        <v>3.0899999999999997E-2</v>
      </c>
      <c r="J61" s="281">
        <v>3.1899999999999998E-2</v>
      </c>
      <c r="K61" s="280">
        <f>J61+0.1%</f>
        <v>3.2899999999999999E-2</v>
      </c>
      <c r="L61" s="280">
        <f>K61+0.1%</f>
        <v>3.39E-2</v>
      </c>
      <c r="M61" s="5"/>
      <c r="N61" s="5"/>
      <c r="O61" s="5"/>
    </row>
    <row r="62" spans="1:15" ht="14.4" x14ac:dyDescent="0.3">
      <c r="A62" s="5"/>
      <c r="B62" s="7" t="s">
        <v>336</v>
      </c>
      <c r="C62" s="250">
        <f ca="1">C61*(1+COE*(1-($E$28-D28)/365))</f>
        <v>1971969.3490667311</v>
      </c>
      <c r="F62" s="56"/>
      <c r="G62" s="282">
        <f>G63-0.5%</f>
        <v>8.0870323489481977E-2</v>
      </c>
      <c r="H62" s="283">
        <f t="dataTable" ref="H62:L66" dt2D="1" dtr="1" r1="C33" r2="L5" ca="1"/>
        <v>241.75548426400584</v>
      </c>
      <c r="I62" s="283">
        <v>244.20249070575414</v>
      </c>
      <c r="J62" s="283">
        <v>246.43653201299591</v>
      </c>
      <c r="K62" s="283">
        <v>248.33719148437407</v>
      </c>
      <c r="L62" s="294">
        <v>249.71874849596796</v>
      </c>
      <c r="M62" s="5"/>
      <c r="N62" s="5"/>
      <c r="O62" s="5"/>
    </row>
    <row r="63" spans="1:15" ht="14.4" x14ac:dyDescent="0.3">
      <c r="A63" s="5"/>
      <c r="B63" s="5" t="s">
        <v>337</v>
      </c>
      <c r="C63" s="250">
        <v>0</v>
      </c>
      <c r="F63" s="56"/>
      <c r="G63" s="282">
        <f>G64-0.5%</f>
        <v>8.5870323489481981E-2</v>
      </c>
      <c r="H63" s="283">
        <v>214.18237683115842</v>
      </c>
      <c r="I63" s="289">
        <v>215.73887232707571</v>
      </c>
      <c r="J63" s="289">
        <v>217.03275427323157</v>
      </c>
      <c r="K63" s="289">
        <v>217.93973328220738</v>
      </c>
      <c r="L63" s="295">
        <v>218.26982589675484</v>
      </c>
      <c r="M63" s="5"/>
      <c r="N63" s="5"/>
      <c r="O63" s="5"/>
    </row>
    <row r="64" spans="1:15" ht="14.4" x14ac:dyDescent="0.3">
      <c r="A64" s="5"/>
      <c r="B64" s="5" t="s">
        <v>338</v>
      </c>
      <c r="C64" s="250">
        <v>0</v>
      </c>
      <c r="F64" s="197" t="s">
        <v>339</v>
      </c>
      <c r="G64" s="284">
        <v>9.0870323489481986E-2</v>
      </c>
      <c r="H64" s="283">
        <v>191.32740769750606</v>
      </c>
      <c r="I64" s="289">
        <v>192.22016440968866</v>
      </c>
      <c r="J64" s="290">
        <v>192.81676943776446</v>
      </c>
      <c r="K64" s="289">
        <v>192.99056247153669</v>
      </c>
      <c r="L64" s="295">
        <v>192.54897290805067</v>
      </c>
      <c r="M64" s="5"/>
      <c r="N64" s="5"/>
      <c r="O64" s="5"/>
    </row>
    <row r="65" spans="1:15" ht="14.4" x14ac:dyDescent="0.3">
      <c r="A65" s="5"/>
      <c r="B65" s="208" t="s">
        <v>340</v>
      </c>
      <c r="C65" s="273">
        <f ca="1">C62+C63-C64</f>
        <v>1971969.3490667311</v>
      </c>
      <c r="F65" s="56"/>
      <c r="G65" s="282">
        <f>G64+0.5%</f>
        <v>9.587032348948199E-2</v>
      </c>
      <c r="H65" s="283">
        <v>172.11072755292838</v>
      </c>
      <c r="I65" s="289">
        <v>172.49755645343677</v>
      </c>
      <c r="J65" s="289">
        <v>172.56487218072573</v>
      </c>
      <c r="K65" s="289">
        <v>172.18450484666457</v>
      </c>
      <c r="L65" s="295">
        <v>171.16224853605024</v>
      </c>
      <c r="M65" s="5"/>
      <c r="N65" s="5"/>
      <c r="O65" s="5"/>
    </row>
    <row r="66" spans="1:15" ht="14.4" x14ac:dyDescent="0.3">
      <c r="A66" s="5"/>
      <c r="B66" s="5" t="s">
        <v>341</v>
      </c>
      <c r="C66" s="250">
        <f>H7</f>
        <v>10322</v>
      </c>
      <c r="F66" s="56"/>
      <c r="G66" s="291">
        <f>G65+0.5%</f>
        <v>0.10087032348948199</v>
      </c>
      <c r="H66" s="298">
        <v>155.7570874568882</v>
      </c>
      <c r="I66" s="296">
        <v>155.75090249171583</v>
      </c>
      <c r="J66" s="296">
        <v>155.40850432032579</v>
      </c>
      <c r="K66" s="296">
        <v>154.6007295864184</v>
      </c>
      <c r="L66" s="297">
        <v>153.13230277311581</v>
      </c>
      <c r="M66" s="5"/>
      <c r="N66" s="5"/>
      <c r="O66" s="5"/>
    </row>
    <row r="67" spans="1:15" ht="14.4" x14ac:dyDescent="0.3">
      <c r="A67" s="5"/>
      <c r="B67" s="285" t="s">
        <v>342</v>
      </c>
      <c r="C67" s="286">
        <f ca="1">C65/C66</f>
        <v>191.04527698767012</v>
      </c>
      <c r="M67" s="5"/>
      <c r="N67" s="5"/>
      <c r="O67" s="5"/>
    </row>
    <row r="68" spans="1:15" ht="14.4" x14ac:dyDescent="0.3">
      <c r="A68" s="5"/>
      <c r="B68" s="208"/>
      <c r="C68" s="209"/>
      <c r="D68" s="20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ht="14.4" x14ac:dyDescent="0.3">
      <c r="A69" s="5"/>
      <c r="B69" s="212"/>
      <c r="C69" s="287"/>
      <c r="D69" s="287"/>
      <c r="E69" s="221"/>
      <c r="F69" s="221"/>
      <c r="G69" s="5"/>
      <c r="H69" s="5"/>
      <c r="I69" s="5"/>
      <c r="J69" s="293"/>
      <c r="K69" s="5"/>
      <c r="L69" s="5"/>
      <c r="M69" s="5"/>
      <c r="N69" s="5"/>
      <c r="O69" s="5"/>
    </row>
    <row r="70" spans="1:15" ht="14.4" x14ac:dyDescent="0.3">
      <c r="A70" s="5"/>
      <c r="B70" s="5"/>
      <c r="C70" s="221"/>
      <c r="D70" s="221"/>
      <c r="E70" s="221"/>
      <c r="F70" s="5"/>
      <c r="J70" s="292"/>
      <c r="N70" s="5"/>
      <c r="O70" s="5"/>
    </row>
    <row r="71" spans="1:15" ht="14.4" x14ac:dyDescent="0.3">
      <c r="A71" s="5"/>
      <c r="B71" s="5"/>
      <c r="C71" s="221"/>
      <c r="D71" s="221"/>
      <c r="E71" s="221"/>
      <c r="F71" s="5"/>
      <c r="N71" s="5"/>
      <c r="O71" s="5"/>
    </row>
    <row r="72" spans="1:15" ht="14.4" x14ac:dyDescent="0.3">
      <c r="A72" s="5"/>
      <c r="B72" s="5"/>
      <c r="C72" s="221"/>
      <c r="D72" s="221"/>
      <c r="E72" s="221"/>
      <c r="F72" s="5"/>
      <c r="N72" s="5"/>
      <c r="O72" s="5"/>
    </row>
    <row r="73" spans="1:15" ht="14.4" x14ac:dyDescent="0.3">
      <c r="A73" s="5"/>
      <c r="B73" s="208" t="s">
        <v>343</v>
      </c>
      <c r="C73" s="5"/>
      <c r="D73" s="24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ht="14.4" x14ac:dyDescent="0.3">
      <c r="A74" s="5"/>
      <c r="B74" s="82" t="s">
        <v>15</v>
      </c>
      <c r="C74" s="242"/>
      <c r="D74" s="243">
        <v>2022</v>
      </c>
      <c r="E74" s="16">
        <v>2023</v>
      </c>
      <c r="F74" s="16">
        <v>2024</v>
      </c>
      <c r="G74" s="16">
        <v>2025</v>
      </c>
      <c r="H74" s="16">
        <v>2026</v>
      </c>
      <c r="I74" s="16">
        <v>2027</v>
      </c>
      <c r="J74" s="16">
        <v>2028</v>
      </c>
      <c r="K74" s="16">
        <v>2029</v>
      </c>
      <c r="L74" s="16">
        <v>2030</v>
      </c>
      <c r="M74" s="16">
        <v>2031</v>
      </c>
      <c r="N74" s="16">
        <v>2032</v>
      </c>
      <c r="O74" s="5"/>
    </row>
    <row r="75" spans="1:15" ht="14.4" x14ac:dyDescent="0.3">
      <c r="B75" s="17" t="s">
        <v>16</v>
      </c>
      <c r="C75" s="244"/>
      <c r="D75" s="245">
        <v>44926</v>
      </c>
      <c r="E75" s="246">
        <v>45291</v>
      </c>
      <c r="F75" s="246">
        <v>45657</v>
      </c>
      <c r="G75" s="246">
        <v>46022</v>
      </c>
      <c r="H75" s="246">
        <v>46387</v>
      </c>
      <c r="I75" s="246">
        <v>46752</v>
      </c>
      <c r="J75" s="246">
        <v>47118</v>
      </c>
      <c r="K75" s="246">
        <v>47483</v>
      </c>
      <c r="L75" s="246">
        <v>47848</v>
      </c>
      <c r="M75" s="246">
        <v>48213</v>
      </c>
      <c r="N75" s="246">
        <v>48579</v>
      </c>
    </row>
    <row r="76" spans="1:15" ht="14.4" x14ac:dyDescent="0.3">
      <c r="B76" s="247"/>
      <c r="C76" s="5"/>
      <c r="D76" s="248"/>
      <c r="E76" s="208"/>
      <c r="F76" s="208"/>
      <c r="G76" s="208"/>
      <c r="H76" s="208"/>
      <c r="I76" s="208"/>
      <c r="J76" s="208"/>
      <c r="K76" s="208"/>
      <c r="L76" s="208"/>
      <c r="M76" s="208"/>
      <c r="N76" s="208"/>
    </row>
    <row r="77" spans="1:15" ht="14.4" x14ac:dyDescent="0.3">
      <c r="B77" s="5" t="s">
        <v>277</v>
      </c>
      <c r="C77" s="5"/>
      <c r="D77" s="249">
        <f t="shared" ref="D77:N77" si="13">D14</f>
        <v>46752</v>
      </c>
      <c r="E77" s="250">
        <f t="shared" ca="1" si="13"/>
        <v>103823.18755432797</v>
      </c>
      <c r="F77" s="250">
        <f t="shared" ca="1" si="13"/>
        <v>129654.31736342289</v>
      </c>
      <c r="G77" s="250">
        <f t="shared" ca="1" si="13"/>
        <v>181074.8607353504</v>
      </c>
      <c r="H77" s="250">
        <f t="shared" ca="1" si="13"/>
        <v>238165.68642544706</v>
      </c>
      <c r="I77" s="250">
        <f t="shared" ca="1" si="13"/>
        <v>301468.22899161064</v>
      </c>
      <c r="J77" s="250">
        <f t="shared" ca="1" si="13"/>
        <v>366848.69034170877</v>
      </c>
      <c r="K77" s="250">
        <f t="shared" ca="1" si="13"/>
        <v>428177.09591253445</v>
      </c>
      <c r="L77" s="250">
        <f t="shared" ca="1" si="13"/>
        <v>478443.24900717195</v>
      </c>
      <c r="M77" s="250">
        <f t="shared" ca="1" si="13"/>
        <v>510752.91092951334</v>
      </c>
      <c r="N77" s="250">
        <f t="shared" ca="1" si="13"/>
        <v>519729.49673177011</v>
      </c>
    </row>
    <row r="78" spans="1:15" ht="14.4" x14ac:dyDescent="0.3">
      <c r="B78" s="5" t="s">
        <v>278</v>
      </c>
      <c r="C78" s="5"/>
      <c r="D78" s="249">
        <f t="shared" ref="D78:N78" si="14">D16</f>
        <v>26023</v>
      </c>
      <c r="E78" s="250">
        <f t="shared" ca="1" si="14"/>
        <v>-13170.131811191604</v>
      </c>
      <c r="F78" s="250">
        <f t="shared" ca="1" si="14"/>
        <v>-23474.170869191308</v>
      </c>
      <c r="G78" s="250">
        <f t="shared" ca="1" si="14"/>
        <v>-40133.027304428804</v>
      </c>
      <c r="H78" s="250">
        <f t="shared" ca="1" si="14"/>
        <v>-48011.102873854805</v>
      </c>
      <c r="I78" s="250">
        <f t="shared" ca="1" si="14"/>
        <v>-54129.789369400241</v>
      </c>
      <c r="J78" s="250">
        <f t="shared" ca="1" si="14"/>
        <v>-56924.198405931471</v>
      </c>
      <c r="K78" s="250">
        <f t="shared" ca="1" si="14"/>
        <v>-54894.769915238896</v>
      </c>
      <c r="L78" s="250">
        <f t="shared" ca="1" si="14"/>
        <v>-47000.672311062051</v>
      </c>
      <c r="M78" s="250">
        <f t="shared" ca="1" si="14"/>
        <v>-33065.822474916757</v>
      </c>
      <c r="N78" s="250">
        <f t="shared" ca="1" si="14"/>
        <v>-14062.466962193372</v>
      </c>
    </row>
    <row r="79" spans="1:15" ht="14.4" x14ac:dyDescent="0.3">
      <c r="B79" s="256" t="s">
        <v>279</v>
      </c>
      <c r="C79" s="5"/>
      <c r="D79" s="249">
        <f t="shared" ref="D79:N79" si="15">D18</f>
        <v>-37601</v>
      </c>
      <c r="E79" s="250">
        <f t="shared" ca="1" si="15"/>
        <v>-48187.079934049121</v>
      </c>
      <c r="F79" s="250">
        <f t="shared" ca="1" si="15"/>
        <v>-108602.34770603542</v>
      </c>
      <c r="G79" s="250">
        <f t="shared" ca="1" si="15"/>
        <v>-162311.20631458634</v>
      </c>
      <c r="H79" s="250">
        <f t="shared" ca="1" si="15"/>
        <v>-206780.28530729204</v>
      </c>
      <c r="I79" s="250">
        <f t="shared" ca="1" si="15"/>
        <v>-252380.24817973984</v>
      </c>
      <c r="J79" s="250">
        <f t="shared" ca="1" si="15"/>
        <v>-294358.59723671281</v>
      </c>
      <c r="K79" s="250">
        <f t="shared" ca="1" si="15"/>
        <v>-327085.08177266706</v>
      </c>
      <c r="L79" s="250">
        <f t="shared" ca="1" si="15"/>
        <v>-344998.8234085603</v>
      </c>
      <c r="M79" s="250">
        <f t="shared" ca="1" si="15"/>
        <v>-343842.855104007</v>
      </c>
      <c r="N79" s="250">
        <f t="shared" ca="1" si="15"/>
        <v>-321883.93665664573</v>
      </c>
    </row>
    <row r="80" spans="1:15" ht="14.4" x14ac:dyDescent="0.3">
      <c r="B80" s="257" t="s">
        <v>344</v>
      </c>
      <c r="C80" s="5"/>
      <c r="D80" s="69">
        <f>Schedules!G98-Schedules!F98</f>
        <v>14122</v>
      </c>
      <c r="E80" s="68">
        <f ca="1">Schedules!H98-Schedules!G98</f>
        <v>8998.4044368551549</v>
      </c>
      <c r="F80" s="68">
        <f ca="1">Schedules!I98-Schedules!H98</f>
        <v>23867.434694432202</v>
      </c>
      <c r="G80" s="68">
        <f ca="1">Schedules!J98-Schedules!I98</f>
        <v>40805.377690058493</v>
      </c>
      <c r="H80" s="68">
        <f ca="1">Schedules!K98-Schedules!J98</f>
        <v>48815.435008754052</v>
      </c>
      <c r="I80" s="68">
        <f ca="1">Schedules!L98-Schedules!K98</f>
        <v>55036.628130416211</v>
      </c>
      <c r="J80" s="68">
        <f ca="1">Schedules!M98-Schedules!L98</f>
        <v>57877.852025419677</v>
      </c>
      <c r="K80" s="68">
        <f ca="1">Schedules!N98-Schedules!M98</f>
        <v>55814.42442925286</v>
      </c>
      <c r="L80" s="68">
        <f ca="1">Schedules!O98-Schedules!N98</f>
        <v>47788.076657947851</v>
      </c>
      <c r="M80" s="68">
        <f ca="1">Schedules!P98-Schedules!O98</f>
        <v>33619.775664730638</v>
      </c>
      <c r="N80" s="68">
        <f ca="1">Schedules!Q98-Schedules!P98</f>
        <v>14298.056094635627</v>
      </c>
    </row>
    <row r="81" spans="2:14" ht="14.4" x14ac:dyDescent="0.3">
      <c r="B81" s="159" t="s">
        <v>345</v>
      </c>
      <c r="C81" s="5"/>
      <c r="D81" s="69">
        <v>0</v>
      </c>
      <c r="E81" s="68">
        <v>0</v>
      </c>
      <c r="F81" s="68">
        <v>0</v>
      </c>
      <c r="G81" s="68">
        <v>0</v>
      </c>
      <c r="H81" s="68">
        <v>0</v>
      </c>
      <c r="I81" s="68">
        <v>0</v>
      </c>
      <c r="J81" s="68">
        <v>0</v>
      </c>
      <c r="K81" s="68">
        <v>0</v>
      </c>
      <c r="L81" s="68">
        <v>0</v>
      </c>
      <c r="M81" s="68">
        <v>0</v>
      </c>
      <c r="N81" s="68">
        <v>0</v>
      </c>
    </row>
    <row r="82" spans="2:14" ht="14.4" x14ac:dyDescent="0.3">
      <c r="B82" s="257" t="s">
        <v>346</v>
      </c>
      <c r="C82" s="5"/>
      <c r="D82" s="69">
        <v>0</v>
      </c>
      <c r="E82" s="68">
        <v>0</v>
      </c>
      <c r="F82" s="68">
        <v>0</v>
      </c>
      <c r="G82" s="68">
        <v>0</v>
      </c>
      <c r="H82" s="68">
        <v>0</v>
      </c>
      <c r="I82" s="68">
        <v>0</v>
      </c>
      <c r="J82" s="68">
        <v>0</v>
      </c>
      <c r="K82" s="68">
        <v>0</v>
      </c>
      <c r="L82" s="68">
        <v>0</v>
      </c>
      <c r="M82" s="68">
        <v>0</v>
      </c>
      <c r="N82" s="68">
        <v>0</v>
      </c>
    </row>
    <row r="83" spans="2:14" ht="14.4" x14ac:dyDescent="0.3">
      <c r="B83" s="260" t="s">
        <v>347</v>
      </c>
      <c r="C83" s="260"/>
      <c r="D83" s="261">
        <f t="shared" ref="D83:N83" si="16">SUM(D77:D82)</f>
        <v>49296</v>
      </c>
      <c r="E83" s="262">
        <f t="shared" ca="1" si="16"/>
        <v>51464.380245942404</v>
      </c>
      <c r="F83" s="262">
        <f t="shared" ca="1" si="16"/>
        <v>21445.233482628362</v>
      </c>
      <c r="G83" s="262">
        <f t="shared" ca="1" si="16"/>
        <v>19436.004806393757</v>
      </c>
      <c r="H83" s="262">
        <f t="shared" ca="1" si="16"/>
        <v>32189.733253054263</v>
      </c>
      <c r="I83" s="262">
        <f t="shared" ca="1" si="16"/>
        <v>49994.819572886772</v>
      </c>
      <c r="J83" s="262">
        <f t="shared" ca="1" si="16"/>
        <v>73443.746724484168</v>
      </c>
      <c r="K83" s="262">
        <f t="shared" ca="1" si="16"/>
        <v>102011.66865388135</v>
      </c>
      <c r="L83" s="262">
        <f t="shared" ca="1" si="16"/>
        <v>134231.82994549745</v>
      </c>
      <c r="M83" s="262">
        <f t="shared" ca="1" si="16"/>
        <v>167464.00901532022</v>
      </c>
      <c r="N83" s="262">
        <f t="shared" ca="1" si="16"/>
        <v>198081.14920756663</v>
      </c>
    </row>
    <row r="84" spans="2:14" ht="14.4" x14ac:dyDescent="0.3">
      <c r="B84" s="5"/>
      <c r="C84" s="5"/>
      <c r="D84" s="263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2:14" ht="14.4" x14ac:dyDescent="0.3">
      <c r="B85" s="219" t="s">
        <v>283</v>
      </c>
      <c r="C85" s="220"/>
      <c r="D85" s="263"/>
      <c r="E85" s="5"/>
      <c r="F85" s="263"/>
      <c r="G85" s="263"/>
      <c r="H85" s="263"/>
      <c r="I85" s="263"/>
      <c r="J85" s="263"/>
      <c r="K85" s="263"/>
      <c r="L85" s="263"/>
      <c r="M85" s="263"/>
      <c r="N85" s="263"/>
    </row>
    <row r="86" spans="2:14" ht="14.4" x14ac:dyDescent="0.3">
      <c r="B86" s="208"/>
      <c r="C86" s="5"/>
      <c r="D86" s="242" t="s">
        <v>284</v>
      </c>
      <c r="E86" s="242" t="s">
        <v>285</v>
      </c>
      <c r="F86" s="242" t="s">
        <v>286</v>
      </c>
      <c r="G86" s="242" t="s">
        <v>287</v>
      </c>
      <c r="H86" s="242" t="s">
        <v>288</v>
      </c>
      <c r="I86" s="242" t="s">
        <v>289</v>
      </c>
      <c r="J86" s="242" t="s">
        <v>290</v>
      </c>
      <c r="K86" s="242" t="s">
        <v>291</v>
      </c>
      <c r="L86" s="242" t="s">
        <v>292</v>
      </c>
      <c r="M86" s="242" t="s">
        <v>293</v>
      </c>
      <c r="N86" s="242" t="s">
        <v>294</v>
      </c>
    </row>
    <row r="87" spans="2:14" ht="14.4" x14ac:dyDescent="0.3">
      <c r="B87" s="220" t="s">
        <v>295</v>
      </c>
      <c r="C87" s="264"/>
      <c r="D87" s="265">
        <f t="shared" ref="D87:E87" si="17">D28</f>
        <v>45273</v>
      </c>
      <c r="E87" s="265">
        <f t="shared" si="17"/>
        <v>45291</v>
      </c>
      <c r="F87" s="246">
        <v>45657</v>
      </c>
      <c r="G87" s="246">
        <v>46022</v>
      </c>
      <c r="H87" s="246">
        <v>46387</v>
      </c>
      <c r="I87" s="246">
        <v>46752</v>
      </c>
      <c r="J87" s="246">
        <v>47118</v>
      </c>
      <c r="K87" s="246">
        <v>47483</v>
      </c>
      <c r="L87" s="246">
        <v>47848</v>
      </c>
      <c r="M87" s="246">
        <v>48213</v>
      </c>
      <c r="N87" s="246">
        <v>48579</v>
      </c>
    </row>
    <row r="88" spans="2:14" ht="14.4" x14ac:dyDescent="0.3">
      <c r="B88" s="5" t="s">
        <v>296</v>
      </c>
      <c r="C88" s="266">
        <f>C29</f>
        <v>0.05</v>
      </c>
      <c r="D88" s="5"/>
      <c r="E88" s="267">
        <f ca="1">C88*E83</f>
        <v>2573.2190122971206</v>
      </c>
      <c r="F88" s="267">
        <f t="shared" ref="F88:N88" ca="1" si="18">F83</f>
        <v>21445.233482628362</v>
      </c>
      <c r="G88" s="267">
        <f t="shared" ca="1" si="18"/>
        <v>19436.004806393757</v>
      </c>
      <c r="H88" s="267">
        <f t="shared" ca="1" si="18"/>
        <v>32189.733253054263</v>
      </c>
      <c r="I88" s="267">
        <f t="shared" ca="1" si="18"/>
        <v>49994.819572886772</v>
      </c>
      <c r="J88" s="267">
        <f t="shared" ca="1" si="18"/>
        <v>73443.746724484168</v>
      </c>
      <c r="K88" s="267">
        <f t="shared" ca="1" si="18"/>
        <v>102011.66865388135</v>
      </c>
      <c r="L88" s="267">
        <f t="shared" ca="1" si="18"/>
        <v>134231.82994549745</v>
      </c>
      <c r="M88" s="267">
        <f t="shared" ca="1" si="18"/>
        <v>167464.00901532022</v>
      </c>
      <c r="N88" s="267">
        <f t="shared" ca="1" si="18"/>
        <v>198081.14920756663</v>
      </c>
    </row>
    <row r="89" spans="2:14" ht="14.4" x14ac:dyDescent="0.3">
      <c r="B89" s="208" t="s">
        <v>297</v>
      </c>
      <c r="C89" s="208"/>
      <c r="D89" s="5"/>
      <c r="E89" s="53">
        <f t="shared" ref="E89:N89" ca="1" si="19">E88/(1+COE)^((E87-$D$28)/365)</f>
        <v>2562.1442109143595</v>
      </c>
      <c r="F89" s="53">
        <f t="shared" ca="1" si="19"/>
        <v>19560.032984116402</v>
      </c>
      <c r="G89" s="53">
        <f t="shared" ca="1" si="19"/>
        <v>16242.835732464575</v>
      </c>
      <c r="H89" s="53">
        <f t="shared" ca="1" si="19"/>
        <v>24648.374437838676</v>
      </c>
      <c r="I89" s="53">
        <f t="shared" ca="1" si="19"/>
        <v>35076.153415125096</v>
      </c>
      <c r="J89" s="53">
        <f t="shared" ca="1" si="19"/>
        <v>47201.278778004453</v>
      </c>
      <c r="K89" s="53">
        <f t="shared" ca="1" si="19"/>
        <v>60070.997359761619</v>
      </c>
      <c r="L89" s="53">
        <f t="shared" ca="1" si="19"/>
        <v>72424.674566151094</v>
      </c>
      <c r="M89" s="53">
        <f t="shared" ca="1" si="19"/>
        <v>82788.225882592524</v>
      </c>
      <c r="N89" s="53">
        <f t="shared" ca="1" si="19"/>
        <v>89702.020211456766</v>
      </c>
    </row>
    <row r="91" spans="2:14" ht="14.4" x14ac:dyDescent="0.3">
      <c r="B91" s="219" t="s">
        <v>298</v>
      </c>
      <c r="C91" s="219"/>
    </row>
    <row r="92" spans="2:14" ht="14.4" x14ac:dyDescent="0.3">
      <c r="B92" s="5" t="s">
        <v>300</v>
      </c>
      <c r="C92" s="268">
        <v>3.1899999999999998E-2</v>
      </c>
    </row>
    <row r="93" spans="2:14" ht="14.4" x14ac:dyDescent="0.3">
      <c r="B93" s="5" t="s">
        <v>348</v>
      </c>
      <c r="C93" s="250">
        <f ca="1">N83*(1+C92)</f>
        <v>204399.93786728801</v>
      </c>
    </row>
    <row r="94" spans="2:14" ht="14.4" x14ac:dyDescent="0.3">
      <c r="B94" s="5" t="s">
        <v>303</v>
      </c>
      <c r="C94" s="250">
        <f ca="1">C93/(COE-LTG)</f>
        <v>3435293.073399798</v>
      </c>
    </row>
    <row r="95" spans="2:14" ht="14.4" x14ac:dyDescent="0.3">
      <c r="B95" s="5" t="s">
        <v>305</v>
      </c>
      <c r="C95" s="250">
        <f ca="1">C94/(1+COE)^((N87-D87)/365)</f>
        <v>1555689.3219529786</v>
      </c>
    </row>
    <row r="96" spans="2:14" ht="14.4" x14ac:dyDescent="0.3">
      <c r="B96" s="5" t="s">
        <v>307</v>
      </c>
      <c r="C96" s="250">
        <f ca="1">SUM(E89:N89)</f>
        <v>450276.7375784255</v>
      </c>
    </row>
    <row r="97" spans="2:3" ht="14.4" x14ac:dyDescent="0.3">
      <c r="B97" s="208" t="s">
        <v>335</v>
      </c>
      <c r="C97" s="273">
        <f ca="1">SUM(C95:C96)</f>
        <v>2005966.0595314042</v>
      </c>
    </row>
    <row r="98" spans="2:3" ht="14.4" x14ac:dyDescent="0.3">
      <c r="B98" s="7" t="s">
        <v>336</v>
      </c>
      <c r="C98" s="250">
        <f ca="1">C97*(1+COE*(1-($E$28-D28)/365))</f>
        <v>2180269.6714516403</v>
      </c>
    </row>
    <row r="99" spans="2:3" ht="14.4" x14ac:dyDescent="0.3">
      <c r="B99" s="5" t="s">
        <v>337</v>
      </c>
      <c r="C99" s="250">
        <v>0</v>
      </c>
    </row>
    <row r="100" spans="2:3" ht="14.4" x14ac:dyDescent="0.3">
      <c r="B100" s="5" t="s">
        <v>338</v>
      </c>
      <c r="C100" s="250">
        <v>0</v>
      </c>
    </row>
    <row r="101" spans="2:3" ht="14.4" x14ac:dyDescent="0.3">
      <c r="B101" s="208" t="s">
        <v>340</v>
      </c>
      <c r="C101" s="273">
        <f ca="1">C98+C99-C100</f>
        <v>2180269.6714516403</v>
      </c>
    </row>
    <row r="102" spans="2:3" ht="14.4" x14ac:dyDescent="0.3">
      <c r="B102" s="5" t="s">
        <v>341</v>
      </c>
      <c r="C102" s="250">
        <f>H7</f>
        <v>10322</v>
      </c>
    </row>
    <row r="103" spans="2:3" ht="14.4" x14ac:dyDescent="0.3">
      <c r="B103" s="285" t="s">
        <v>342</v>
      </c>
      <c r="C103" s="286">
        <f ca="1">C101/C102</f>
        <v>211.22550585658209</v>
      </c>
    </row>
  </sheetData>
  <mergeCells count="8">
    <mergeCell ref="F59:L59"/>
    <mergeCell ref="F60:L60"/>
    <mergeCell ref="F4:G4"/>
    <mergeCell ref="J4:K4"/>
    <mergeCell ref="F5:G5"/>
    <mergeCell ref="J5:K5"/>
    <mergeCell ref="F6:G6"/>
    <mergeCell ref="J6:K6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Forecasted 3 Statements</vt:lpstr>
      <vt:lpstr>Schedules</vt:lpstr>
      <vt:lpstr>Financial Statements</vt:lpstr>
      <vt:lpstr>WACC</vt:lpstr>
      <vt:lpstr>DCF</vt:lpstr>
      <vt:lpstr>CODAT</vt:lpstr>
      <vt:lpstr>CODPT</vt:lpstr>
      <vt:lpstr>COE</vt:lpstr>
      <vt:lpstr>LTG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Street Prep</dc:creator>
  <cp:lastModifiedBy>Ye, Yongjie</cp:lastModifiedBy>
  <dcterms:created xsi:type="dcterms:W3CDTF">2011-11-04T21:28:06Z</dcterms:created>
  <dcterms:modified xsi:type="dcterms:W3CDTF">2025-07-04T12:59:43Z</dcterms:modified>
</cp:coreProperties>
</file>