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ms-office.chartex+xml" PartName="/xl/charts/chartEx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year" sheetId="1" r:id="rId4"/>
    <sheet state="visible" name="Sheet13" sheetId="2" r:id="rId5"/>
    <sheet state="visible" name="Year 1" sheetId="3" r:id="rId6"/>
    <sheet state="visible" name="Year 2" sheetId="4" r:id="rId7"/>
    <sheet state="visible" name="Year 3" sheetId="5" r:id="rId8"/>
    <sheet state="visible" name="Year 4" sheetId="6" r:id="rId9"/>
    <sheet state="visible" name="Year 5" sheetId="7" r:id="rId10"/>
    <sheet state="visible" name="Year 6" sheetId="8" r:id="rId11"/>
    <sheet state="visible" name="year 7" sheetId="9" r:id="rId12"/>
    <sheet state="visible" name="Strat 2" sheetId="10" r:id="rId13"/>
    <sheet state="visible" name="Macro" sheetId="11" r:id="rId14"/>
    <sheet state="visible" name="Emp to qual" sheetId="12" r:id="rId15"/>
    <sheet state="visible" name="Strat 1" sheetId="13" r:id="rId16"/>
    <sheet state="visible" name="Comp cash" sheetId="14" r:id="rId17"/>
    <sheet state="visible" name="Sheet12" sheetId="15" r:id="rId18"/>
    <sheet state="visible" name="Leisure analysis" sheetId="16" r:id="rId19"/>
    <sheet state="visible" name="Sit-on-top" sheetId="17" r:id="rId20"/>
    <sheet state="visible" name="Sheet11" sheetId="18" r:id="rId21"/>
  </sheets>
  <definedNames>
    <definedName name="NamedRange2">'Test year'!$A$1:$G$16</definedName>
    <definedName name="NamedRange1">'Test year'!$A$2</definedName>
    <definedName hidden="1" localSheetId="0" name="_xlnm._FilterDatabase">'Test year'!$A$1:$L$16</definedName>
    <definedName hidden="1" localSheetId="2" name="_xlnm._FilterDatabase">'Year 1'!$A$1:$O$16</definedName>
    <definedName hidden="1" localSheetId="3" name="_xlnm._FilterDatabase">'Year 2'!$A$1:$P$23</definedName>
    <definedName hidden="1" localSheetId="4" name="_xlnm._FilterDatabase">'Year 3'!$A$1:$Q$29</definedName>
    <definedName hidden="1" localSheetId="5" name="_xlnm._FilterDatabase">'Year 4'!$A$1:$Q$31</definedName>
    <definedName hidden="1" localSheetId="6" name="_xlnm._FilterDatabase">'Year 5'!$A$1:$Q$36</definedName>
    <definedName hidden="1" localSheetId="7" name="_xlnm._FilterDatabase">'Year 6'!$A$1:$Q$41</definedName>
    <definedName hidden="1" localSheetId="8" name="_xlnm._FilterDatabase">'year 7'!$A$1:$Q$41</definedName>
    <definedName hidden="1" localSheetId="12" name="_xlnm._FilterDatabase">'Strat 1'!$X$16:$AD$31</definedName>
    <definedName hidden="1" localSheetId="15" name="_xlnm._FilterDatabase">'Leisure analysis'!$A$1:$I$24</definedName>
    <definedName hidden="1" localSheetId="16" name="_xlnm._FilterDatabase">'Sit-on-top'!$A$1:$H$25</definedName>
    <definedName hidden="1" localSheetId="0" name="Z_967B2E8E_DD95_4C9C_8707_68EA029C1B40_.wvu.FilterData">'Test year'!$A$1:$G$16</definedName>
  </definedNames>
  <calcPr/>
  <customWorkbookViews>
    <customWorkbookView activeSheetId="0" maximized="1" windowHeight="0" windowWidth="0" guid="{967B2E8E-DD95-4C9C-8707-68EA029C1B40}" name="Filter 1"/>
  </customWorkbookViews>
</workbook>
</file>

<file path=xl/sharedStrings.xml><?xml version="1.0" encoding="utf-8"?>
<sst xmlns="http://schemas.openxmlformats.org/spreadsheetml/2006/main" count="3320" uniqueCount="484">
  <si>
    <t>name</t>
  </si>
  <si>
    <t>density</t>
  </si>
  <si>
    <t>packing</t>
  </si>
  <si>
    <t>waranty</t>
  </si>
  <si>
    <t>quality</t>
  </si>
  <si>
    <t>price</t>
  </si>
  <si>
    <t>share price</t>
  </si>
  <si>
    <t>net earning</t>
  </si>
  <si>
    <t>net sale</t>
  </si>
  <si>
    <t># of kayak</t>
  </si>
  <si>
    <t>net per quality</t>
  </si>
  <si>
    <t>position</t>
  </si>
  <si>
    <t>Crystal Crest Kayaks</t>
  </si>
  <si>
    <t>High density</t>
  </si>
  <si>
    <t>Canvas bag</t>
  </si>
  <si>
    <t>4 years</t>
  </si>
  <si>
    <t>Sea Splash Kayaks</t>
  </si>
  <si>
    <t>Low density</t>
  </si>
  <si>
    <t>Plastic film</t>
  </si>
  <si>
    <t>2 years</t>
  </si>
  <si>
    <t>H2OExplorers</t>
  </si>
  <si>
    <t>Basic</t>
  </si>
  <si>
    <t>Under The Paddle</t>
  </si>
  <si>
    <t>Ramm</t>
  </si>
  <si>
    <t>Freeflow Kayaks</t>
  </si>
  <si>
    <t>Great Lakes Kayak Co</t>
  </si>
  <si>
    <t>Bluewater Kayaks</t>
  </si>
  <si>
    <t>ElevationKayaks</t>
  </si>
  <si>
    <t>Nordiks</t>
  </si>
  <si>
    <t>DraKayak</t>
  </si>
  <si>
    <t>MarineX</t>
  </si>
  <si>
    <t>Jaws Kayak</t>
  </si>
  <si>
    <t>InSync Kayaks</t>
  </si>
  <si>
    <t>AquaFloat</t>
  </si>
  <si>
    <t>stickers</t>
  </si>
  <si>
    <t>cost</t>
  </si>
  <si>
    <t># of kayaks</t>
  </si>
  <si>
    <t>%</t>
  </si>
  <si>
    <t>Yes</t>
  </si>
  <si>
    <t>3.825</t>
  </si>
  <si>
    <t>699.00</t>
  </si>
  <si>
    <t>157.54</t>
  </si>
  <si>
    <t>3.375</t>
  </si>
  <si>
    <t>687.00</t>
  </si>
  <si>
    <t>160.20</t>
  </si>
  <si>
    <t>3.35</t>
  </si>
  <si>
    <t>659.00</t>
  </si>
  <si>
    <t>151.97</t>
  </si>
  <si>
    <t>3.3</t>
  </si>
  <si>
    <t>609.00</t>
  </si>
  <si>
    <t>137.65</t>
  </si>
  <si>
    <t>3.625</t>
  </si>
  <si>
    <t>693.00</t>
  </si>
  <si>
    <t>156.27</t>
  </si>
  <si>
    <t>3.425</t>
  </si>
  <si>
    <t>622.00</t>
  </si>
  <si>
    <t>145.14</t>
  </si>
  <si>
    <t>2.3</t>
  </si>
  <si>
    <t>575.00</t>
  </si>
  <si>
    <t>148.19</t>
  </si>
  <si>
    <t>2.525</t>
  </si>
  <si>
    <t>607.00</t>
  </si>
  <si>
    <t>155.79</t>
  </si>
  <si>
    <t>3.8</t>
  </si>
  <si>
    <t>698.00</t>
  </si>
  <si>
    <t>155.67</t>
  </si>
  <si>
    <t>3.525</t>
  </si>
  <si>
    <t>635.00</t>
  </si>
  <si>
    <t>144.71</t>
  </si>
  <si>
    <t>No</t>
  </si>
  <si>
    <t>2.975</t>
  </si>
  <si>
    <t>570.00</t>
  </si>
  <si>
    <t>141.68</t>
  </si>
  <si>
    <t>670.00</t>
  </si>
  <si>
    <t>146.40</t>
  </si>
  <si>
    <t>2.425</t>
  </si>
  <si>
    <t>600.00</t>
  </si>
  <si>
    <t>140.94</t>
  </si>
  <si>
    <t>2.55</t>
  </si>
  <si>
    <t>601.00</t>
  </si>
  <si>
    <t>134.99</t>
  </si>
  <si>
    <t>2.6</t>
  </si>
  <si>
    <t>127.19</t>
  </si>
  <si>
    <t>3.375 / 5</t>
  </si>
  <si>
    <t>$687.00 CAD</t>
  </si>
  <si>
    <t>3.825 / 5</t>
  </si>
  <si>
    <t>$699.00 CAD</t>
  </si>
  <si>
    <t>3.625 / 5</t>
  </si>
  <si>
    <t>$693.00 CAD</t>
  </si>
  <si>
    <t>2.525 / 5</t>
  </si>
  <si>
    <t>$607.00 CAD</t>
  </si>
  <si>
    <t>3.8 / 5</t>
  </si>
  <si>
    <t>$698.00 CAD</t>
  </si>
  <si>
    <t>3.35 / 5</t>
  </si>
  <si>
    <t>$659.00 CAD</t>
  </si>
  <si>
    <t>2.3 / 5</t>
  </si>
  <si>
    <t>$575.00 CAD</t>
  </si>
  <si>
    <t>$670.00 CAD</t>
  </si>
  <si>
    <t>3.425 / 5</t>
  </si>
  <si>
    <t>$622.00 CAD</t>
  </si>
  <si>
    <t>3.525 / 5</t>
  </si>
  <si>
    <t>$635.00 CAD</t>
  </si>
  <si>
    <t>2.975 / 5</t>
  </si>
  <si>
    <t>$570.00 CAD</t>
  </si>
  <si>
    <t>2.425 / 5</t>
  </si>
  <si>
    <t>$600.00 CAD</t>
  </si>
  <si>
    <t>3.3 / 5</t>
  </si>
  <si>
    <t>$609.00 CAD</t>
  </si>
  <si>
    <t>2.55 / 5</t>
  </si>
  <si>
    <t>$601.00 CAD</t>
  </si>
  <si>
    <t>2.6 / 5</t>
  </si>
  <si>
    <t xml:space="preserve"> </t>
  </si>
  <si>
    <t>Type of Kayaks</t>
  </si>
  <si>
    <t>Rudders</t>
  </si>
  <si>
    <t>Inventory</t>
  </si>
  <si>
    <t>Leisure (Sit-In)</t>
  </si>
  <si>
    <t>3.5 / 5</t>
  </si>
  <si>
    <t>$669.00 CAD</t>
  </si>
  <si>
    <t>4.1 / 5</t>
  </si>
  <si>
    <t>$723.00 CAD</t>
  </si>
  <si>
    <t>3.85 / 5</t>
  </si>
  <si>
    <t>$739.00 CAD</t>
  </si>
  <si>
    <t>Excursion (Sit-In)</t>
  </si>
  <si>
    <t>4.175 / 5</t>
  </si>
  <si>
    <t>$797.00 CAD</t>
  </si>
  <si>
    <t>$675.00 CAD</t>
  </si>
  <si>
    <t>2.95 / 5</t>
  </si>
  <si>
    <t>$620.00 CAD</t>
  </si>
  <si>
    <t>2.4 / 5</t>
  </si>
  <si>
    <t>$599.00 CAD</t>
  </si>
  <si>
    <t>Leisure (Sit-On-Top)</t>
  </si>
  <si>
    <t>3.675 / 5</t>
  </si>
  <si>
    <t>$555.00 CAD</t>
  </si>
  <si>
    <t>3.775 / 5</t>
  </si>
  <si>
    <t>$700.00 CAD</t>
  </si>
  <si>
    <t>2.675 / 5</t>
  </si>
  <si>
    <t>Support</t>
  </si>
  <si>
    <t>6 years</t>
  </si>
  <si>
    <t>4.125 / 5</t>
  </si>
  <si>
    <t>$734.00 CAD</t>
  </si>
  <si>
    <t>$615.00 CAD</t>
  </si>
  <si>
    <t>$640.00 CAD</t>
  </si>
  <si>
    <t>$690.00 CAD</t>
  </si>
  <si>
    <t>3.725 / 5</t>
  </si>
  <si>
    <t>3.225 / 5</t>
  </si>
  <si>
    <t>$749.00 CAD</t>
  </si>
  <si>
    <t>$629.00 CAD</t>
  </si>
  <si>
    <t>3.4 / 5</t>
  </si>
  <si>
    <t>$647.00 CAD</t>
  </si>
  <si>
    <t>3.475 / 5</t>
  </si>
  <si>
    <t>$677.00 CAD</t>
  </si>
  <si>
    <t>Empl. Sat.</t>
  </si>
  <si>
    <t>Tandem (Sit-In)</t>
  </si>
  <si>
    <t>$819.00 CAD</t>
  </si>
  <si>
    <t>3.45</t>
  </si>
  <si>
    <t>$546.00 CAD</t>
  </si>
  <si>
    <t>2.625</t>
  </si>
  <si>
    <t>$597.00 CAD</t>
  </si>
  <si>
    <t>8 years</t>
  </si>
  <si>
    <t>4.225</t>
  </si>
  <si>
    <t>4.5</t>
  </si>
  <si>
    <t>$660.00 CAD</t>
  </si>
  <si>
    <t>$590.00 CAD</t>
  </si>
  <si>
    <t>4.3</t>
  </si>
  <si>
    <t>$759.00 CAD</t>
  </si>
  <si>
    <t>4</t>
  </si>
  <si>
    <t>$718.00 CAD</t>
  </si>
  <si>
    <t>$656.00 CAD</t>
  </si>
  <si>
    <t>4.15</t>
  </si>
  <si>
    <t>4.175</t>
  </si>
  <si>
    <t>4.075</t>
  </si>
  <si>
    <t>$724.00 CAD</t>
  </si>
  <si>
    <t>4.05</t>
  </si>
  <si>
    <t>$645.00 CAD</t>
  </si>
  <si>
    <t>2.45</t>
  </si>
  <si>
    <t>2.8</t>
  </si>
  <si>
    <t>$528.00 CAD</t>
  </si>
  <si>
    <t>3.7</t>
  </si>
  <si>
    <t>3.475</t>
  </si>
  <si>
    <t>$715.00 CAD</t>
  </si>
  <si>
    <t>2.95</t>
  </si>
  <si>
    <t>$630.00 CAD</t>
  </si>
  <si>
    <t>3.175</t>
  </si>
  <si>
    <t>$777.00 CAD</t>
  </si>
  <si>
    <t>3.85</t>
  </si>
  <si>
    <t>$679.00 CAD</t>
  </si>
  <si>
    <t>$702.00 CAD</t>
  </si>
  <si>
    <t>$644.00 CAD</t>
  </si>
  <si>
    <t>3.575</t>
  </si>
  <si>
    <t>3.95</t>
  </si>
  <si>
    <t>3.925</t>
  </si>
  <si>
    <t>$725.00 CAD</t>
  </si>
  <si>
    <t>3.125</t>
  </si>
  <si>
    <t>4.525</t>
  </si>
  <si>
    <t>$742.00 CAD</t>
  </si>
  <si>
    <t>4.1</t>
  </si>
  <si>
    <t>$501.00 CAD</t>
  </si>
  <si>
    <t>2.575</t>
  </si>
  <si>
    <t>$608.00 CAD</t>
  </si>
  <si>
    <t>2.475</t>
  </si>
  <si>
    <t>$775.00 CAD</t>
  </si>
  <si>
    <t>3.9</t>
  </si>
  <si>
    <t>4.575</t>
  </si>
  <si>
    <t>$862.00 CAD</t>
  </si>
  <si>
    <t>4.375</t>
  </si>
  <si>
    <t>$720.00 CAD</t>
  </si>
  <si>
    <t>3.875</t>
  </si>
  <si>
    <t>$610.00 CAD</t>
  </si>
  <si>
    <t>3.775</t>
  </si>
  <si>
    <t>2.775</t>
  </si>
  <si>
    <t>2.7</t>
  </si>
  <si>
    <t>3.55</t>
  </si>
  <si>
    <t>3.725</t>
  </si>
  <si>
    <t>$669.00</t>
  </si>
  <si>
    <t>$819.00</t>
  </si>
  <si>
    <t>2.65</t>
  </si>
  <si>
    <t>$608.00</t>
  </si>
  <si>
    <t>2.5</t>
  </si>
  <si>
    <t>$779.00</t>
  </si>
  <si>
    <t>$560.00</t>
  </si>
  <si>
    <t>$690.00</t>
  </si>
  <si>
    <t>Fishing (Sit-On-Top)</t>
  </si>
  <si>
    <t>4.45</t>
  </si>
  <si>
    <t>$628.00</t>
  </si>
  <si>
    <t>4.35</t>
  </si>
  <si>
    <t>$676.00</t>
  </si>
  <si>
    <t>$514.00</t>
  </si>
  <si>
    <t>$530.00</t>
  </si>
  <si>
    <t>3.025</t>
  </si>
  <si>
    <t>$616.00</t>
  </si>
  <si>
    <t>$697.00</t>
  </si>
  <si>
    <t>$736.00</t>
  </si>
  <si>
    <t>4.55</t>
  </si>
  <si>
    <t>$898.00</t>
  </si>
  <si>
    <t>$501.00</t>
  </si>
  <si>
    <t>$699.00</t>
  </si>
  <si>
    <t>4.475</t>
  </si>
  <si>
    <t>$742.00</t>
  </si>
  <si>
    <t>$625.00</t>
  </si>
  <si>
    <t>3.4</t>
  </si>
  <si>
    <t>$630.00</t>
  </si>
  <si>
    <t>$602.00</t>
  </si>
  <si>
    <t>$621.00</t>
  </si>
  <si>
    <t>4.2</t>
  </si>
  <si>
    <t>$701.00</t>
  </si>
  <si>
    <t>$590.00</t>
  </si>
  <si>
    <t>$705.00</t>
  </si>
  <si>
    <t>$660.00</t>
  </si>
  <si>
    <t>2.725</t>
  </si>
  <si>
    <t>$550.00</t>
  </si>
  <si>
    <t>$645.00</t>
  </si>
  <si>
    <t>$635.00</t>
  </si>
  <si>
    <t>3.675</t>
  </si>
  <si>
    <t>$700.00</t>
  </si>
  <si>
    <t>4.25</t>
  </si>
  <si>
    <t>$650.00</t>
  </si>
  <si>
    <t>$734.00</t>
  </si>
  <si>
    <t>$609.00</t>
  </si>
  <si>
    <t>$695.00</t>
  </si>
  <si>
    <t>3.75</t>
  </si>
  <si>
    <t>$670.00</t>
  </si>
  <si>
    <t>2.75</t>
  </si>
  <si>
    <t>$615.00</t>
  </si>
  <si>
    <t>$799.00</t>
  </si>
  <si>
    <t>2.675</t>
  </si>
  <si>
    <t>$555.00</t>
  </si>
  <si>
    <t>$500.00</t>
  </si>
  <si>
    <t>$570.00</t>
  </si>
  <si>
    <t>4.275</t>
  </si>
  <si>
    <t>$760.00</t>
  </si>
  <si>
    <t>$652.00</t>
  </si>
  <si>
    <t>$756.00</t>
  </si>
  <si>
    <t>$855.00</t>
  </si>
  <si>
    <t>10 years</t>
  </si>
  <si>
    <t>4.425</t>
  </si>
  <si>
    <t>4.75</t>
  </si>
  <si>
    <t>$732.00</t>
  </si>
  <si>
    <t>$623.00</t>
  </si>
  <si>
    <t>3.075</t>
  </si>
  <si>
    <t>$613.00</t>
  </si>
  <si>
    <t>$597.00</t>
  </si>
  <si>
    <t>$689.00</t>
  </si>
  <si>
    <t>$666.00</t>
  </si>
  <si>
    <t>3</t>
  </si>
  <si>
    <t>$499.00</t>
  </si>
  <si>
    <t>$600.00</t>
  </si>
  <si>
    <t>3.975</t>
  </si>
  <si>
    <t>3.15</t>
  </si>
  <si>
    <t>$557.00</t>
  </si>
  <si>
    <t>4.125</t>
  </si>
  <si>
    <t>$901.00</t>
  </si>
  <si>
    <t>4.025</t>
  </si>
  <si>
    <t>$715.00</t>
  </si>
  <si>
    <t>$900.00</t>
  </si>
  <si>
    <t>$605.00</t>
  </si>
  <si>
    <t>$785.00</t>
  </si>
  <si>
    <t>$545.00</t>
  </si>
  <si>
    <t>$710.00</t>
  </si>
  <si>
    <t>$568.00</t>
  </si>
  <si>
    <t>$519.00</t>
  </si>
  <si>
    <t>$704.00</t>
  </si>
  <si>
    <t>$665.00</t>
  </si>
  <si>
    <t>$640.00</t>
  </si>
  <si>
    <t>$482.00</t>
  </si>
  <si>
    <t>$654.00</t>
  </si>
  <si>
    <t>$574.00</t>
  </si>
  <si>
    <t>$675.00</t>
  </si>
  <si>
    <t>$585.00</t>
  </si>
  <si>
    <t>$575.00</t>
  </si>
  <si>
    <t>$800.00</t>
  </si>
  <si>
    <t>Year 4</t>
  </si>
  <si>
    <t>Year 5</t>
  </si>
  <si>
    <t>Year 6</t>
  </si>
  <si>
    <t>Agile A1</t>
  </si>
  <si>
    <t>stock Price</t>
  </si>
  <si>
    <t>stock Interm</t>
  </si>
  <si>
    <t>Net earning</t>
  </si>
  <si>
    <t>Net sales</t>
  </si>
  <si>
    <t>Eployee Sat</t>
  </si>
  <si>
    <t>Agile S2</t>
  </si>
  <si>
    <t>3.95 / 5</t>
  </si>
  <si>
    <t>$500.00 CAD</t>
  </si>
  <si>
    <t>Alligator X3</t>
  </si>
  <si>
    <t>4.05 / 5</t>
  </si>
  <si>
    <t>$800.00 CAD</t>
  </si>
  <si>
    <t>AquaGlider</t>
  </si>
  <si>
    <t>Calypso</t>
  </si>
  <si>
    <t>Explorer</t>
  </si>
  <si>
    <t>3.125 / 5</t>
  </si>
  <si>
    <t>$482.00 CAD</t>
  </si>
  <si>
    <t>Dorsal ZB5</t>
  </si>
  <si>
    <t>Dorsal ZB6</t>
  </si>
  <si>
    <t>$568.00 CAD</t>
  </si>
  <si>
    <t>Gamma Y02</t>
  </si>
  <si>
    <t>3.025 / 5</t>
  </si>
  <si>
    <t>$628.00 CAD</t>
  </si>
  <si>
    <t>Water Wanderer</t>
  </si>
  <si>
    <t>$530.00 CAD</t>
  </si>
  <si>
    <t>Reel it in</t>
  </si>
  <si>
    <t>4.2 / 5</t>
  </si>
  <si>
    <t>Double adventure</t>
  </si>
  <si>
    <t>$710.00 CAD</t>
  </si>
  <si>
    <t>Aquarium L58</t>
  </si>
  <si>
    <t>3.975 / 5</t>
  </si>
  <si>
    <t>Stream N35</t>
  </si>
  <si>
    <t>$585.00 CAD</t>
  </si>
  <si>
    <t>Aura L11</t>
  </si>
  <si>
    <t>Riviera Rafter</t>
  </si>
  <si>
    <t>3 / 5</t>
  </si>
  <si>
    <t>$519.00 CAD</t>
  </si>
  <si>
    <t>Artefact PT23</t>
  </si>
  <si>
    <t>4.45 / 5</t>
  </si>
  <si>
    <t>$654.00 CAD</t>
  </si>
  <si>
    <t>Venture 390</t>
  </si>
  <si>
    <t>4.55 / 5</t>
  </si>
  <si>
    <t>$574.00 CAD</t>
  </si>
  <si>
    <t>Adventure 450</t>
  </si>
  <si>
    <t>4.75 / 5</t>
  </si>
  <si>
    <t>$732.00 CAD</t>
  </si>
  <si>
    <t>Aspiration N41</t>
  </si>
  <si>
    <t>4.15 / 5</t>
  </si>
  <si>
    <t>$704.00 CAD</t>
  </si>
  <si>
    <t>Adventurer N42</t>
  </si>
  <si>
    <t>$665.00 CAD</t>
  </si>
  <si>
    <t>Aquarius N43</t>
  </si>
  <si>
    <t>3.75 / 5</t>
  </si>
  <si>
    <t>Atlas DL</t>
  </si>
  <si>
    <t>4.025 / 5</t>
  </si>
  <si>
    <t>Crystal Clear</t>
  </si>
  <si>
    <t>Riské Fish</t>
  </si>
  <si>
    <t>4.525 / 5</t>
  </si>
  <si>
    <t>A-JABE</t>
  </si>
  <si>
    <t>$900.00 CAD</t>
  </si>
  <si>
    <t>Attitude H15</t>
  </si>
  <si>
    <t>Attitude I15</t>
  </si>
  <si>
    <t>Extra J17</t>
  </si>
  <si>
    <t>3.175 / 5</t>
  </si>
  <si>
    <t>Barracuda F4</t>
  </si>
  <si>
    <t>DrakTwin</t>
  </si>
  <si>
    <t>DrakVenture</t>
  </si>
  <si>
    <t>3.9 / 5</t>
  </si>
  <si>
    <t>Crocodile J48</t>
  </si>
  <si>
    <t>4 / 5</t>
  </si>
  <si>
    <t>Over the Paddle</t>
  </si>
  <si>
    <t>3.925 / 5</t>
  </si>
  <si>
    <t>$557.00 CAD</t>
  </si>
  <si>
    <t>Gazelle Q48</t>
  </si>
  <si>
    <t>2.625 / 5</t>
  </si>
  <si>
    <t>$605.00 CAD</t>
  </si>
  <si>
    <t>The Black Pearl</t>
  </si>
  <si>
    <t>2.5 / 5</t>
  </si>
  <si>
    <t>$785.00 CAD</t>
  </si>
  <si>
    <t>Bluenose</t>
  </si>
  <si>
    <t>2.575 / 5</t>
  </si>
  <si>
    <t>$545.00 CAD</t>
  </si>
  <si>
    <t>Globe A01</t>
  </si>
  <si>
    <t>$705.00 CAD</t>
  </si>
  <si>
    <t>Global S01</t>
  </si>
  <si>
    <t>4.35 / 5</t>
  </si>
  <si>
    <t>$760.00 CAD</t>
  </si>
  <si>
    <t>Global T01</t>
  </si>
  <si>
    <t>$901.00 CAD</t>
  </si>
  <si>
    <t>A01</t>
  </si>
  <si>
    <t>S01</t>
  </si>
  <si>
    <t>T01</t>
  </si>
  <si>
    <t>benefits</t>
  </si>
  <si>
    <t>Share price</t>
  </si>
  <si>
    <t>Profit</t>
  </si>
  <si>
    <t>Year 1</t>
  </si>
  <si>
    <t>year 2</t>
  </si>
  <si>
    <t>year 3</t>
  </si>
  <si>
    <t>Year 7</t>
  </si>
  <si>
    <t>Year 2</t>
  </si>
  <si>
    <t>Year 3</t>
  </si>
  <si>
    <t>734.00</t>
  </si>
  <si>
    <t>689.00</t>
  </si>
  <si>
    <t>718.00</t>
  </si>
  <si>
    <t>697.00</t>
  </si>
  <si>
    <t>705.00</t>
  </si>
  <si>
    <t>724.00</t>
  </si>
  <si>
    <t>652.00</t>
  </si>
  <si>
    <t>669.00</t>
  </si>
  <si>
    <t>656.00</t>
  </si>
  <si>
    <t>660.00</t>
  </si>
  <si>
    <t>615.00</t>
  </si>
  <si>
    <t>645.00</t>
  </si>
  <si>
    <t>597.00</t>
  </si>
  <si>
    <t>608.00</t>
  </si>
  <si>
    <t>610.00</t>
  </si>
  <si>
    <t>616.00</t>
  </si>
  <si>
    <t>613.00</t>
  </si>
  <si>
    <t>679.00</t>
  </si>
  <si>
    <t>695.00</t>
  </si>
  <si>
    <t>700.00</t>
  </si>
  <si>
    <t>701.00</t>
  </si>
  <si>
    <t>715.00</t>
  </si>
  <si>
    <t>675.00</t>
  </si>
  <si>
    <t>702.00</t>
  </si>
  <si>
    <t>777.00</t>
  </si>
  <si>
    <t>725.00</t>
  </si>
  <si>
    <t>676.00</t>
  </si>
  <si>
    <t>630.00</t>
  </si>
  <si>
    <t>690.00</t>
  </si>
  <si>
    <t>666.00</t>
  </si>
  <si>
    <t>year 1</t>
  </si>
  <si>
    <t>sum</t>
  </si>
  <si>
    <t>Year</t>
  </si>
  <si>
    <t>Name + year</t>
  </si>
  <si>
    <t>year + quality</t>
  </si>
  <si>
    <t>predicted</t>
  </si>
  <si>
    <t>diff</t>
  </si>
  <si>
    <t>Bluewater Kayaks 2</t>
  </si>
  <si>
    <t>H2OExplorers 3</t>
  </si>
  <si>
    <t>prediction</t>
  </si>
  <si>
    <t>Freeflow Kayaks 3</t>
  </si>
  <si>
    <t>AquaFloat 2</t>
  </si>
  <si>
    <t>MarineX 2</t>
  </si>
  <si>
    <t>H2OExplorers 2</t>
  </si>
  <si>
    <t>Bluewater Kayaks 3</t>
  </si>
  <si>
    <t>Crystal Crest Kayaks 4</t>
  </si>
  <si>
    <t>Crystal Crest Kayaks 2</t>
  </si>
  <si>
    <t>Ramm 2</t>
  </si>
  <si>
    <t>Freeflow Kayaks 2</t>
  </si>
  <si>
    <t>Great Lakes Kayak Co 4</t>
  </si>
  <si>
    <t>DraKayak 3</t>
  </si>
  <si>
    <t>DraKayak 2</t>
  </si>
  <si>
    <t>Under The Paddle 3</t>
  </si>
  <si>
    <t>Under The Paddle 4</t>
  </si>
  <si>
    <t>Great Lakes Kayak Co 3</t>
  </si>
  <si>
    <t>Sea Splash Kayaks 2</t>
  </si>
  <si>
    <t>Great Lakes Kayak Co 2</t>
  </si>
  <si>
    <t>Bluewater Kayaks 4</t>
  </si>
  <si>
    <t>ElevationKayaks 4</t>
  </si>
  <si>
    <t>Sea Splash Kayaks 4</t>
  </si>
  <si>
    <t>ElevationKayaks 3</t>
  </si>
  <si>
    <t>year</t>
  </si>
  <si>
    <t>pred</t>
  </si>
  <si>
    <t>price inventory</t>
  </si>
  <si>
    <t>quality price</t>
  </si>
  <si>
    <t>quality inventory</t>
  </si>
  <si>
    <t>price diff pred</t>
  </si>
  <si>
    <t>price inven</t>
  </si>
  <si>
    <t>price quality</t>
  </si>
  <si>
    <t>Difference Inven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</si>
</sst>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CA$&quot;#,##0.00"/>
    <numFmt numFmtId="165" formatCode="&quot;$&quot;#,##0"/>
    <numFmt numFmtId="166" formatCode="&quot;$&quot;#,##0.00"/>
    <numFmt numFmtId="167" formatCode="#,##0.0000"/>
    <numFmt numFmtId="168" formatCode="#,##0.00;(#,##0.00)"/>
    <numFmt numFmtId="169" formatCode="#,##0.0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808080"/>
      <name val="Nunito"/>
    </font>
    <font>
      <color rgb="FF4E596B"/>
      <name val="Nunito"/>
    </font>
    <font>
      <sz val="9.0"/>
      <color rgb="FF7E3794"/>
      <name val="&quot;Google Sans Mono&quot;"/>
    </font>
    <font>
      <sz val="9.0"/>
      <color rgb="FF000000"/>
      <name val="&quot;Google Sans Mono&quot;"/>
    </font>
    <font>
      <color theme="1"/>
      <name val="Arial"/>
    </font>
    <font>
      <b/>
      <color theme="1"/>
      <name val="Arial"/>
      <scheme val="minor"/>
    </font>
    <font>
      <sz val="14.0"/>
      <color theme="1"/>
      <name val="Arial"/>
      <scheme val="minor"/>
    </font>
    <font>
      <sz val="12.0"/>
      <color rgb="FF808080"/>
      <name val="Nunito"/>
    </font>
    <font>
      <b/>
      <color theme="1"/>
      <name val="Arial"/>
    </font>
    <font>
      <sz val="9.0"/>
      <color theme="1"/>
      <name val="Google Sans Mon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2" numFmtId="0" xfId="0" applyAlignment="1" applyFont="1">
      <alignment horizontal="right" readingOrder="0" shrinkToFit="0" wrapText="0"/>
    </xf>
    <xf borderId="0" fillId="2" fontId="2" numFmtId="4" xfId="0" applyAlignment="1" applyFont="1" applyNumberFormat="1">
      <alignment horizontal="right" readingOrder="0" shrinkToFit="0" wrapText="0"/>
    </xf>
    <xf borderId="0" fillId="2" fontId="3" numFmtId="164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0" fillId="2" fontId="3" numFmtId="4" xfId="0" applyAlignment="1" applyFont="1" applyNumberFormat="1">
      <alignment readingOrder="0"/>
    </xf>
    <xf borderId="0" fillId="0" fontId="1" numFmtId="2" xfId="0" applyFont="1" applyNumberFormat="1"/>
    <xf borderId="0" fillId="0" fontId="1" numFmtId="1" xfId="0" applyFont="1" applyNumberFormat="1"/>
    <xf borderId="0" fillId="3" fontId="3" numFmtId="164" xfId="0" applyAlignment="1" applyFill="1" applyFont="1" applyNumberFormat="1">
      <alignment readingOrder="0"/>
    </xf>
    <xf borderId="0" fillId="3" fontId="3" numFmtId="165" xfId="0" applyAlignment="1" applyFont="1" applyNumberFormat="1">
      <alignment readingOrder="0"/>
    </xf>
    <xf borderId="0" fillId="3" fontId="3" numFmtId="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166" xfId="0" applyAlignment="1" applyFont="1" applyNumberFormat="1">
      <alignment readingOrder="0"/>
    </xf>
    <xf borderId="0" fillId="0" fontId="1" numFmtId="165" xfId="0" applyFont="1" applyNumberFormat="1"/>
    <xf borderId="0" fillId="2" fontId="4" numFmtId="4" xfId="0" applyFont="1" applyNumberFormat="1"/>
    <xf borderId="0" fillId="2" fontId="2" numFmtId="167" xfId="0" applyAlignment="1" applyFont="1" applyNumberFormat="1">
      <alignment readingOrder="0" shrinkToFit="0" wrapText="0"/>
    </xf>
    <xf borderId="0" fillId="2" fontId="5" numFmtId="0" xfId="0" applyFont="1"/>
    <xf borderId="0" fillId="0" fontId="1" numFmtId="0" xfId="0" applyFont="1"/>
    <xf borderId="0" fillId="0" fontId="1" numFmtId="166" xfId="0" applyFont="1" applyNumberFormat="1"/>
    <xf borderId="0" fillId="2" fontId="5" numFmtId="165" xfId="0" applyFont="1" applyNumberFormat="1"/>
    <xf borderId="0" fillId="0" fontId="1" numFmtId="3" xfId="0" applyFont="1" applyNumberFormat="1"/>
    <xf borderId="0" fillId="0" fontId="6" numFmtId="0" xfId="0" applyAlignment="1" applyFont="1">
      <alignment vertical="bottom"/>
    </xf>
    <xf borderId="0" fillId="0" fontId="6" numFmtId="166" xfId="0" applyAlignment="1" applyFont="1" applyNumberFormat="1">
      <alignment vertical="bottom"/>
    </xf>
    <xf borderId="0" fillId="0" fontId="7" numFmtId="0" xfId="0" applyFont="1"/>
    <xf borderId="0" fillId="0" fontId="8" numFmtId="0" xfId="0" applyAlignment="1" applyFont="1">
      <alignment readingOrder="0"/>
    </xf>
    <xf borderId="0" fillId="2" fontId="2" numFmtId="0" xfId="0" applyAlignment="1" applyFont="1">
      <alignment shrinkToFit="0" wrapText="0"/>
    </xf>
    <xf borderId="0" fillId="2" fontId="2" numFmtId="166" xfId="0" applyAlignment="1" applyFont="1" applyNumberFormat="1">
      <alignment readingOrder="0" shrinkToFit="0" wrapText="0"/>
    </xf>
    <xf borderId="0" fillId="2" fontId="5" numFmtId="166" xfId="0" applyFont="1" applyNumberFormat="1"/>
    <xf borderId="0" fillId="2" fontId="3" numFmtId="166" xfId="0" applyAlignment="1" applyFont="1" applyNumberFormat="1">
      <alignment readingOrder="0"/>
    </xf>
    <xf borderId="0" fillId="2" fontId="2" numFmtId="166" xfId="0" applyAlignment="1" applyFont="1" applyNumberFormat="1">
      <alignment horizontal="right" readingOrder="0" shrinkToFit="0" wrapText="0"/>
    </xf>
    <xf borderId="0" fillId="2" fontId="5" numFmtId="3" xfId="0" applyFont="1" applyNumberFormat="1"/>
    <xf borderId="0" fillId="3" fontId="3" numFmtId="3" xfId="0" applyAlignment="1" applyFont="1" applyNumberFormat="1">
      <alignment readingOrder="0"/>
    </xf>
    <xf borderId="0" fillId="3" fontId="3" numFmtId="166" xfId="0" applyAlignment="1" applyFont="1" applyNumberFormat="1">
      <alignment readingOrder="0"/>
    </xf>
    <xf borderId="0" fillId="2" fontId="3" numFmtId="3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9" numFmtId="0" xfId="0" applyAlignment="1" applyFont="1">
      <alignment shrinkToFit="0" wrapText="0"/>
    </xf>
    <xf borderId="0" fillId="0" fontId="0" numFmtId="168" xfId="0" applyAlignment="1" applyFont="1" applyNumberFormat="1">
      <alignment readingOrder="0"/>
    </xf>
    <xf borderId="0" fillId="2" fontId="0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0" numFmtId="168" xfId="0" applyFont="1" applyNumberFormat="1"/>
    <xf borderId="0" fillId="2" fontId="0" numFmtId="168" xfId="0" applyFont="1" applyNumberFormat="1"/>
    <xf borderId="0" fillId="0" fontId="10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4" xfId="0" applyAlignment="1" applyFont="1" applyNumberFormat="1">
      <alignment horizontal="right" vertical="bottom"/>
    </xf>
    <xf borderId="0" fillId="0" fontId="6" numFmtId="2" xfId="0" applyAlignment="1" applyFont="1" applyNumberFormat="1">
      <alignment horizontal="right" vertical="bottom"/>
    </xf>
    <xf borderId="0" fillId="0" fontId="6" numFmtId="3" xfId="0" applyAlignment="1" applyFont="1" applyNumberFormat="1">
      <alignment horizontal="right" vertical="bottom"/>
    </xf>
    <xf borderId="0" fillId="2" fontId="11" numFmtId="0" xfId="0" applyAlignment="1" applyFont="1">
      <alignment horizontal="right" vertical="bottom"/>
    </xf>
    <xf borderId="0" fillId="0" fontId="6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_rels/chartEx1.xml.rels><?xml version="1.0" encoding="UTF-8" standalone="yes"?>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Inventory of companies producing tandem kayaks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'Strat 2'!$A$2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'Strat 2'!$B$1:$D$1</c:f>
            </c:strRef>
          </c:cat>
          <c:val>
            <c:numRef>
              <c:f>'Strat 2'!$B$2:$D$2</c:f>
              <c:numCache/>
            </c:numRef>
          </c:val>
        </c:ser>
        <c:ser>
          <c:idx val="1"/>
          <c:order val="1"/>
          <c:tx>
            <c:strRef>
              <c:f>'Strat 2'!$A$3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'Strat 2'!$B$1:$D$1</c:f>
            </c:strRef>
          </c:cat>
          <c:val>
            <c:numRef>
              <c:f>'Strat 2'!$B$3:$D$3</c:f>
              <c:numCache/>
            </c:numRef>
          </c:val>
        </c:ser>
        <c:ser>
          <c:idx val="2"/>
          <c:order val="2"/>
          <c:tx>
            <c:strRef>
              <c:f>'Strat 2'!$A$4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'Strat 2'!$B$1:$D$1</c:f>
            </c:strRef>
          </c:cat>
          <c:val>
            <c:numRef>
              <c:f>'Strat 2'!$B$4:$D$4</c:f>
              <c:numCache/>
            </c:numRef>
          </c:val>
        </c:ser>
        <c:ser>
          <c:idx val="3"/>
          <c:order val="3"/>
          <c:tx>
            <c:strRef>
              <c:f>'Strat 2'!$A$5</c:f>
            </c:strRef>
          </c:tx>
          <c:cat>
            <c:strRef>
              <c:f>'Strat 2'!$B$1:$D$1</c:f>
            </c:strRef>
          </c:cat>
          <c:val>
            <c:numRef>
              <c:f>'Strat 2'!$B$5:$D$5</c:f>
              <c:numCache/>
            </c:numRef>
          </c:val>
        </c:ser>
        <c:ser>
          <c:idx val="4"/>
          <c:order val="4"/>
          <c:tx>
            <c:strRef>
              <c:f>'Strat 2'!$A$6</c:f>
            </c:strRef>
          </c:tx>
          <c:cat>
            <c:strRef>
              <c:f>'Strat 2'!$B$1:$D$1</c:f>
            </c:strRef>
          </c:cat>
          <c:val>
            <c:numRef>
              <c:f>'Strat 2'!$B$6:$D$6</c:f>
              <c:numCache/>
            </c:numRef>
          </c:val>
        </c:ser>
        <c:ser>
          <c:idx val="5"/>
          <c:order val="5"/>
          <c:tx>
            <c:strRef>
              <c:f>'Strat 2'!$A$7</c:f>
            </c:strRef>
          </c:tx>
          <c:cat>
            <c:strRef>
              <c:f>'Strat 2'!$B$1:$D$1</c:f>
            </c:strRef>
          </c:cat>
          <c:val>
            <c:numRef>
              <c:f>'Strat 2'!$B$7:$D$7</c:f>
              <c:numCache/>
            </c:numRef>
          </c:val>
        </c:ser>
        <c:axId val="327863635"/>
        <c:axId val="251676372"/>
      </c:barChart>
      <c:catAx>
        <c:axId val="327863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1676372"/>
      </c:catAx>
      <c:valAx>
        <c:axId val="251676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7863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quality per year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'Emp to qual'!$B$1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'Emp to qual'!$A$2:$A$8</c:f>
            </c:strRef>
          </c:cat>
          <c:val>
            <c:numRef>
              <c:f>'Emp to qual'!$B$2:$B$8</c:f>
              <c:numCache/>
            </c:numRef>
          </c:val>
          <c:smooth val="0"/>
        </c:ser>
        <c:ser>
          <c:idx val="1"/>
          <c:order val="1"/>
          <c:tx>
            <c:strRef>
              <c:f>'Emp to qual'!$C$1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'Emp to qual'!$A$2:$A$8</c:f>
            </c:strRef>
          </c:cat>
          <c:val>
            <c:numRef>
              <c:f>'Emp to qual'!$C$2:$C$8</c:f>
              <c:numCache/>
            </c:numRef>
          </c:val>
          <c:smooth val="0"/>
        </c:ser>
        <c:ser>
          <c:idx val="2"/>
          <c:order val="2"/>
          <c:tx>
            <c:strRef>
              <c:f>'Emp to qual'!$D$1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'Emp to qual'!$A$2:$A$8</c:f>
            </c:strRef>
          </c:cat>
          <c:val>
            <c:numRef>
              <c:f>'Emp to qual'!$D$2:$D$8</c:f>
              <c:numCache/>
            </c:numRef>
          </c:val>
          <c:smooth val="0"/>
        </c:ser>
        <c:axId val="1323272208"/>
        <c:axId val="1733429190"/>
      </c:lineChart>
      <c:catAx>
        <c:axId val="132327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429190"/>
      </c:catAx>
      <c:valAx>
        <c:axId val="1733429190"/>
        <c:scaling>
          <c:orientation val="minMax"/>
          <c:min val="3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32722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Employee satisfaction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'Emp to qual'!$A$1:$A$8</c:f>
            </c:strRef>
          </c:cat>
          <c:val>
            <c:numRef>
              <c:f>'Emp to qual'!$E$1:$E$8</c:f>
              <c:numCache/>
            </c:numRef>
          </c:val>
        </c:ser>
        <c:axId val="1292785409"/>
        <c:axId val="1574054749"/>
      </c:barChart>
      <c:catAx>
        <c:axId val="1292785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054749"/>
      </c:catAx>
      <c:valAx>
        <c:axId val="1574054749"/>
        <c:scaling>
          <c:orientation val="minMax"/>
          <c:min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27854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1"/>
          <c:order val="1"/>
          <c:tx>
            <c:strRef>
              <c:f>'Emp to qual'!$G$1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'Emp to qual'!$G$2:$G$8</c:f>
              <c:numCache/>
            </c:numRef>
          </c:val>
          <c:smooth val="0"/>
        </c:ser>
        <c:ser>
          <c:idx val="2"/>
          <c:order val="2"/>
          <c:tx>
            <c:strRef>
              <c:f>'Emp to qual'!$H$1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'Emp to qual'!$H$2:$H$8</c:f>
              <c:numCache/>
            </c:numRef>
          </c:val>
          <c:smooth val="0"/>
        </c:ser>
        <c:axId val="898007193"/>
        <c:axId val="1021536146"/>
      </c:lineChart>
      <c:catAx>
        <c:axId val="8980071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536146"/>
      </c:catAx>
      <c:valAx>
        <c:axId val="1021536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8007193"/>
      </c:valAx>
      <c:barChart>
        <c:barDir val="col"/>
        <c:ser>
          <c:idx val="0"/>
          <c:order val="0"/>
          <c:tx>
            <c:strRef>
              <c:f>'Emp to qual'!$F$1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'Emp to qual'!$F$2:$F$8</c:f>
              <c:numCache/>
            </c:numRef>
          </c:val>
        </c:ser>
        <c:axId val="1031528561"/>
        <c:axId val="466485390"/>
      </c:barChart>
      <c:catAx>
        <c:axId val="103152856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6485390"/>
      </c:catAx>
      <c:valAx>
        <c:axId val="46648539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152856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Quality for leisure sit-in kayaks for the first 3 years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'Strat 1'!$L$5</c:f>
            </c:strRef>
          </c:tx>
          <c:spPr>
            <a:solidFill>
              <a:srgbClr val="4285F4">
                <a:alpha val="5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'Strat 1'!$M$4:$AA$4</c:f>
            </c:strRef>
          </c:cat>
          <c:val>
            <c:numRef>
              <c:f>'Strat 1'!$M$5:$AA$5</c:f>
              <c:numCache/>
            </c:numRef>
          </c:val>
        </c:ser>
        <c:ser>
          <c:idx val="1"/>
          <c:order val="1"/>
          <c:tx>
            <c:strRef>
              <c:f>'Strat 1'!$L$6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'Strat 1'!$M$4:$AA$4</c:f>
            </c:strRef>
          </c:cat>
          <c:val>
            <c:numRef>
              <c:f>'Strat 1'!$M$6:$AA$6</c:f>
              <c:numCache/>
            </c:numRef>
          </c:val>
        </c:ser>
        <c:ser>
          <c:idx val="2"/>
          <c:order val="2"/>
          <c:tx>
            <c:strRef>
              <c:f>'Strat 1'!$L$7</c:f>
            </c:strRef>
          </c:tx>
          <c:spPr>
            <a:solidFill>
              <a:srgbClr val="FBBC04">
                <a:alpha val="1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'Strat 1'!$M$4:$AA$4</c:f>
            </c:strRef>
          </c:cat>
          <c:val>
            <c:numRef>
              <c:f>'Strat 1'!$M$7:$AA$7</c:f>
              <c:numCache/>
            </c:numRef>
          </c:val>
        </c:ser>
        <c:axId val="724926557"/>
        <c:axId val="485249685"/>
      </c:areaChart>
      <c:catAx>
        <c:axId val="724926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5249685"/>
      </c:catAx>
      <c:valAx>
        <c:axId val="485249685"/>
        <c:scaling>
          <c:orientation val="minMax"/>
          <c:min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49265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for leisure sit-in kayaks for the first 3 years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areaChart>
        <c:ser>
          <c:idx val="0"/>
          <c:order val="0"/>
          <c:tx>
            <c:strRef>
              <c:f>'Strat 1'!$L$8</c:f>
            </c:strRef>
          </c:tx>
          <c:spPr>
            <a:solidFill>
              <a:srgbClr val="4285F4">
                <a:alpha val="5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'Strat 1'!$M$4:$AA$4</c:f>
            </c:strRef>
          </c:cat>
          <c:val>
            <c:numRef>
              <c:f>'Strat 1'!$M$8:$AA$8</c:f>
              <c:numCache/>
            </c:numRef>
          </c:val>
        </c:ser>
        <c:ser>
          <c:idx val="1"/>
          <c:order val="1"/>
          <c:tx>
            <c:strRef>
              <c:f>'Strat 1'!$L$9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'Strat 1'!$M$4:$AA$4</c:f>
            </c:strRef>
          </c:cat>
          <c:val>
            <c:numRef>
              <c:f>'Strat 1'!$M$9:$AA$9</c:f>
              <c:numCache/>
            </c:numRef>
          </c:val>
        </c:ser>
        <c:ser>
          <c:idx val="2"/>
          <c:order val="2"/>
          <c:tx>
            <c:strRef>
              <c:f>'Strat 1'!$L$10</c:f>
            </c:strRef>
          </c:tx>
          <c:spPr>
            <a:solidFill>
              <a:srgbClr val="FBBC04">
                <a:alpha val="1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'Strat 1'!$M$4:$AA$4</c:f>
            </c:strRef>
          </c:cat>
          <c:val>
            <c:numRef>
              <c:f>'Strat 1'!$M$10:$AA$10</c:f>
              <c:numCache/>
            </c:numRef>
          </c:val>
        </c:ser>
        <c:axId val="1360415106"/>
        <c:axId val="1340767911"/>
      </c:areaChart>
      <c:catAx>
        <c:axId val="1360415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0767911"/>
      </c:catAx>
      <c:valAx>
        <c:axId val="1340767911"/>
        <c:scaling>
          <c:orientation val="minMax"/>
          <c:min val="5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04151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+ quality, quality and price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'Leisure analysis'!$T$78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'Leisure analysis'!$X$79:$X$89</c:f>
            </c:strRef>
          </c:cat>
          <c:val>
            <c:numRef>
              <c:f>'Leisure analysis'!$T$79:$T$89</c:f>
              <c:numCache/>
            </c:numRef>
          </c:val>
          <c:smooth val="0"/>
        </c:ser>
        <c:ser>
          <c:idx val="1"/>
          <c:order val="1"/>
          <c:tx>
            <c:strRef>
              <c:f>'Leisure analysis'!$Y$78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'Leisure analysis'!$X$79:$X$89</c:f>
            </c:strRef>
          </c:cat>
          <c:val>
            <c:numRef>
              <c:f>'Leisure analysis'!$Y$79:$Y$89</c:f>
              <c:numCache/>
            </c:numRef>
          </c:val>
          <c:smooth val="0"/>
        </c:ser>
        <c:axId val="2025008008"/>
        <c:axId val="679741598"/>
      </c:lineChart>
      <c:catAx>
        <c:axId val="202500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9741598"/>
      </c:catAx>
      <c:valAx>
        <c:axId val="679741598"/>
        <c:scaling>
          <c:orientation val="minMax"/>
          <c:min val="5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50080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'Leisure analysis'!$T$92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'Leisure analysis'!$X$93:$X$100</c:f>
            </c:strRef>
          </c:cat>
          <c:val>
            <c:numRef>
              <c:f>'Leisure analysis'!$T$93:$T$100</c:f>
              <c:numCache/>
            </c:numRef>
          </c:val>
          <c:smooth val="0"/>
        </c:ser>
        <c:ser>
          <c:idx val="1"/>
          <c:order val="1"/>
          <c:tx>
            <c:strRef>
              <c:f>'Leisure analysis'!$Y$92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'Leisure analysis'!$X$93:$X$100</c:f>
            </c:strRef>
          </c:cat>
          <c:val>
            <c:numRef>
              <c:f>'Leisure analysis'!$Y$93:$Y$100</c:f>
              <c:numCache/>
            </c:numRef>
          </c:val>
          <c:smooth val="0"/>
        </c:ser>
        <c:axId val="1823273168"/>
        <c:axId val="795068247"/>
      </c:lineChart>
      <c:catAx>
        <c:axId val="182327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5068247"/>
      </c:catAx>
      <c:valAx>
        <c:axId val="795068247"/>
        <c:scaling>
          <c:orientation val="minMax"/>
          <c:min val="5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predicted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32731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+ quality, quality and price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'Leisure analysis'!$T$78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'Leisure analysis'!$X$79:$X$89</c:f>
            </c:strRef>
          </c:cat>
          <c:val>
            <c:numRef>
              <c:f>'Leisure analysis'!$T$79:$T$89</c:f>
              <c:numCache/>
            </c:numRef>
          </c:val>
        </c:ser>
        <c:overlap val="100"/>
        <c:axId val="549220084"/>
        <c:axId val="406980877"/>
      </c:barChart>
      <c:lineChart>
        <c:varyColors val="0"/>
        <c:ser>
          <c:idx val="1"/>
          <c:order val="1"/>
          <c:tx>
            <c:strRef>
              <c:f>'Leisure analysis'!$AB$78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'Leisure analysis'!$X$79:$X$89</c:f>
            </c:strRef>
          </c:cat>
          <c:val>
            <c:numRef>
              <c:f>'Leisure analysis'!$AB$79:$AB$88</c:f>
              <c:numCache/>
            </c:numRef>
          </c:val>
          <c:smooth val="0"/>
        </c:ser>
        <c:axId val="549220084"/>
        <c:axId val="406980877"/>
      </c:lineChart>
      <c:catAx>
        <c:axId val="5492200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6980877"/>
      </c:catAx>
      <c:valAx>
        <c:axId val="406980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92200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'Leisure analysis'!$T$103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'Leisure analysis'!$X$104:$X$109</c:f>
            </c:strRef>
          </c:cat>
          <c:val>
            <c:numRef>
              <c:f>'Leisure analysis'!$T$104:$T$109</c:f>
              <c:numCache/>
            </c:numRef>
          </c:val>
          <c:smooth val="0"/>
        </c:ser>
        <c:ser>
          <c:idx val="1"/>
          <c:order val="1"/>
          <c:tx>
            <c:strRef>
              <c:f>'Leisure analysis'!$Y$103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'Leisure analysis'!$X$104:$X$109</c:f>
            </c:strRef>
          </c:cat>
          <c:val>
            <c:numRef>
              <c:f>'Leisure analysis'!$Y$104:$Y$109</c:f>
              <c:numCache/>
            </c:numRef>
          </c:val>
          <c:smooth val="0"/>
        </c:ser>
        <c:axId val="143482488"/>
        <c:axId val="1502711331"/>
      </c:lineChart>
      <c:catAx>
        <c:axId val="143482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2711331"/>
      </c:catAx>
      <c:valAx>
        <c:axId val="1502711331"/>
        <c:scaling>
          <c:orientation val="minMax"/>
          <c:min val="5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predicted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4824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'Leisure analysis'!$C$1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'Leisure analysis'!$E$2:$E$32</c:f>
            </c:strRef>
          </c:cat>
          <c:val>
            <c:numRef>
              <c:f>'Leisure analysis'!$C$2:$C$32</c:f>
              <c:numCache/>
            </c:numRef>
          </c:val>
          <c:smooth val="0"/>
        </c:ser>
        <c:ser>
          <c:idx val="1"/>
          <c:order val="1"/>
          <c:tx>
            <c:strRef>
              <c:f>'Leisure analysis'!$F$1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'Leisure analysis'!$E$2:$E$32</c:f>
            </c:strRef>
          </c:cat>
          <c:val>
            <c:numRef>
              <c:f>'Leisure analysis'!$F$2:$F$32</c:f>
              <c:numCache/>
            </c:numRef>
          </c:val>
          <c:smooth val="0"/>
        </c:ser>
        <c:axId val="1208402139"/>
        <c:axId val="654888229"/>
      </c:lineChart>
      <c:catAx>
        <c:axId val="1208402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888229"/>
      </c:catAx>
      <c:valAx>
        <c:axId val="654888229"/>
        <c:scaling>
          <c:orientation val="minMax"/>
          <c:max val="8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4021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'Leisure analysis'!$G$98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'Leisure analysis'!$I$99:$I$121</c:f>
            </c:strRef>
          </c:cat>
          <c:val>
            <c:numRef>
              <c:f>'Leisure analysis'!$G$99:$G$121</c:f>
              <c:numCache/>
            </c:numRef>
          </c:val>
          <c:smooth val="0"/>
        </c:ser>
        <c:axId val="1717316595"/>
        <c:axId val="1422627771"/>
      </c:lineChart>
      <c:catAx>
        <c:axId val="1717316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2627771"/>
      </c:catAx>
      <c:valAx>
        <c:axId val="1422627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73165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1"/>
          <c:order val="1"/>
          <c:tx>
            <c:strRef>
              <c:f>'Sit-on-top'!$D$1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'Sit-on-top'!$A$2:$A$25</c:f>
            </c:strRef>
          </c:cat>
          <c:val>
            <c:numRef>
              <c:f>'Sit-on-top'!$D$2:$D$25</c:f>
              <c:numCache/>
            </c:numRef>
          </c:val>
          <c:smooth val="0"/>
        </c:ser>
        <c:ser>
          <c:idx val="2"/>
          <c:order val="2"/>
          <c:tx>
            <c:strRef>
              <c:f>'Sit-on-top'!$F$1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'Sit-on-top'!$A$2:$A$25</c:f>
            </c:strRef>
          </c:cat>
          <c:val>
            <c:numRef>
              <c:f>'Sit-on-top'!$F$2:$F$25</c:f>
              <c:numCache/>
            </c:numRef>
          </c:val>
          <c:smooth val="0"/>
        </c:ser>
        <c:axId val="1331980237"/>
        <c:axId val="1864419636"/>
      </c:lineChart>
      <c:catAx>
        <c:axId val="1331980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419636"/>
      </c:catAx>
      <c:valAx>
        <c:axId val="1864419636"/>
        <c:scaling>
          <c:orientation val="minMax"/>
          <c:min val="4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1980237"/>
      </c:valAx>
      <c:lineChart>
        <c:varyColors val="0"/>
        <c:ser>
          <c:idx val="0"/>
          <c:order val="0"/>
          <c:tx>
            <c:strRef>
              <c:f>'Sit-on-top'!$C$1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'Sit-on-top'!$A$2:$A$25</c:f>
            </c:strRef>
          </c:cat>
          <c:val>
            <c:numRef>
              <c:f>'Sit-on-top'!$C$2:$C$25</c:f>
              <c:numCache/>
            </c:numRef>
          </c:val>
          <c:smooth val="0"/>
        </c:ser>
        <c:axId val="988829361"/>
        <c:axId val="2030775653"/>
      </c:lineChart>
      <c:catAx>
        <c:axId val="98882936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0775653"/>
      </c:catAx>
      <c:valAx>
        <c:axId val="203077565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882936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Ex1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'Emp to qual'!$G$2:$G$8</cx:f>
      </cx:num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Profit</a:t>
          </a:r>
        </a:p>
      </cx:txPr>
    </cx:title>
    <cx:plotArea>
      <cx:plotAreaRegion>
        <cx:series layoutId="waterfall" uniqueId="{3282413C-2915-4CAA-97CC-FDA16DCD54C2}">
          <cx:tx>
            <cx:txData>
              <cx:f>'Emp to qual'!$G$1</cx:f>
            </cx:txData>
          </cx:tx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/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Profit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olors1.xml><?xml version="1.0" encoding="utf-8"?>
<cs:colorStyle xmlns:a="http://schemas.openxmlformats.org/drawingml/2006/main" xmlns:cs="http://schemas.microsoft.com/office/drawing/2012/chartStyle" meth="cycle" id="10">
  <a:schemeClr val="accent4"/>
  <a:srgbClr val="DB4437"/>
  <a:srgbClr val="BDBDBD"/>
</cs:colorStyle>
</file>

<file path=xl/charts/style1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16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257175</xdr:colOff>
      <xdr:row>34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523875</xdr:colOff>
      <xdr:row>15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523875</xdr:colOff>
      <xdr:row>35</xdr:row>
      <xdr:rowOff>95250</xdr:rowOff>
    </xdr:from>
    <xdr:ext cx="5715000" cy="3533775"/>
    <mc:AlternateContent>
      <mc:Choice Requires="cx1">
        <xdr:graphicFrame>
          <xdr:nvGraphicFramePr>
            <xdr:cNvPr id="5" name="Chart 5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4"/>
            </a:graphicData>
          </a:graphic>
        </xdr:graphicFrame>
      </mc:Choice>
      <mc:Fallback>
        <xdr:sp>
          <xdr:nvSpPr>
            <xdr:cNvPr id="6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847725</xdr:colOff>
      <xdr:row>32</xdr:row>
      <xdr:rowOff>152400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22</xdr:col>
      <xdr:colOff>866775</xdr:colOff>
      <xdr:row>33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342900</xdr:colOff>
      <xdr:row>70</xdr:row>
      <xdr:rowOff>19050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342900</xdr:colOff>
      <xdr:row>89</xdr:row>
      <xdr:rowOff>38100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428625</xdr:colOff>
      <xdr:row>113</xdr:row>
      <xdr:rowOff>123825</xdr:rowOff>
    </xdr:from>
    <xdr:ext cx="8277225" cy="51244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19050</xdr:colOff>
      <xdr:row>109</xdr:row>
      <xdr:rowOff>114300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600075</xdr:colOff>
      <xdr:row>29</xdr:row>
      <xdr:rowOff>66675</xdr:rowOff>
    </xdr:from>
    <xdr:ext cx="10896600" cy="39528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266700</xdr:colOff>
      <xdr:row>72</xdr:row>
      <xdr:rowOff>152400</xdr:rowOff>
    </xdr:from>
    <xdr:ext cx="11049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381000</xdr:colOff>
      <xdr:row>10</xdr:row>
      <xdr:rowOff>19050</xdr:rowOff>
    </xdr:from>
    <xdr:ext cx="11334750" cy="701992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11" max="1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4">
        <v>3.575</v>
      </c>
      <c r="F2" s="4">
        <v>693.0</v>
      </c>
      <c r="G2" s="5">
        <v>158.54</v>
      </c>
      <c r="H2" s="6">
        <v>249815.0</v>
      </c>
      <c r="I2" s="7">
        <v>3150932.0</v>
      </c>
      <c r="J2" s="8">
        <f t="shared" ref="J2:J16" si="1">I2/F2</f>
        <v>4546.799423</v>
      </c>
      <c r="K2" s="9">
        <f t="shared" ref="K2:K16" si="2">I2/E2</f>
        <v>881379.5804</v>
      </c>
      <c r="L2" s="2">
        <v>1.0</v>
      </c>
    </row>
    <row r="3">
      <c r="A3" s="2" t="s">
        <v>16</v>
      </c>
      <c r="B3" s="3" t="s">
        <v>17</v>
      </c>
      <c r="C3" s="3" t="s">
        <v>18</v>
      </c>
      <c r="D3" s="3" t="s">
        <v>19</v>
      </c>
      <c r="E3" s="4">
        <v>2.2</v>
      </c>
      <c r="F3" s="4">
        <v>600.0</v>
      </c>
      <c r="G3" s="5">
        <v>153.45</v>
      </c>
      <c r="H3" s="6">
        <v>198921.0</v>
      </c>
      <c r="I3" s="7">
        <v>2918592.0</v>
      </c>
      <c r="J3" s="8">
        <f t="shared" si="1"/>
        <v>4864.32</v>
      </c>
      <c r="K3" s="9">
        <f t="shared" si="2"/>
        <v>1326632.727</v>
      </c>
      <c r="L3" s="2">
        <v>2.0</v>
      </c>
    </row>
    <row r="4">
      <c r="A4" s="2" t="s">
        <v>20</v>
      </c>
      <c r="B4" s="3" t="s">
        <v>17</v>
      </c>
      <c r="C4" s="3" t="s">
        <v>14</v>
      </c>
      <c r="D4" s="3" t="s">
        <v>21</v>
      </c>
      <c r="E4" s="4">
        <v>2.4</v>
      </c>
      <c r="F4" s="4">
        <v>598.0</v>
      </c>
      <c r="G4" s="5">
        <v>153.28</v>
      </c>
      <c r="H4" s="6">
        <v>197188.0</v>
      </c>
      <c r="I4" s="7">
        <v>2813306.0</v>
      </c>
      <c r="J4" s="8">
        <f t="shared" si="1"/>
        <v>4704.525084</v>
      </c>
      <c r="K4" s="9">
        <f t="shared" si="2"/>
        <v>1172210.833</v>
      </c>
      <c r="L4" s="2">
        <v>3.0</v>
      </c>
    </row>
    <row r="5">
      <c r="A5" s="2" t="s">
        <v>22</v>
      </c>
      <c r="B5" s="3" t="s">
        <v>13</v>
      </c>
      <c r="C5" s="3" t="s">
        <v>14</v>
      </c>
      <c r="D5" s="3" t="s">
        <v>21</v>
      </c>
      <c r="E5" s="4">
        <v>3.45</v>
      </c>
      <c r="F5" s="4">
        <v>611.0</v>
      </c>
      <c r="G5" s="5">
        <v>151.74</v>
      </c>
      <c r="H5" s="6">
        <v>181833.0</v>
      </c>
      <c r="I5" s="7">
        <v>2953183.0</v>
      </c>
      <c r="J5" s="8">
        <f t="shared" si="1"/>
        <v>4833.360065</v>
      </c>
      <c r="K5" s="9">
        <f t="shared" si="2"/>
        <v>855995.0725</v>
      </c>
      <c r="L5" s="2">
        <v>4.0</v>
      </c>
    </row>
    <row r="6">
      <c r="A6" s="2" t="s">
        <v>23</v>
      </c>
      <c r="B6" s="3" t="s">
        <v>13</v>
      </c>
      <c r="C6" s="3" t="s">
        <v>14</v>
      </c>
      <c r="D6" s="3" t="s">
        <v>19</v>
      </c>
      <c r="E6" s="4">
        <v>3.375</v>
      </c>
      <c r="F6" s="4">
        <v>618.0</v>
      </c>
      <c r="G6" s="5">
        <v>150.64</v>
      </c>
      <c r="H6" s="6">
        <v>170851.0</v>
      </c>
      <c r="I6" s="7">
        <v>3001434.0</v>
      </c>
      <c r="J6" s="8">
        <f t="shared" si="1"/>
        <v>4856.68932</v>
      </c>
      <c r="K6" s="9">
        <f t="shared" si="2"/>
        <v>889313.7778</v>
      </c>
      <c r="L6" s="2">
        <v>5.0</v>
      </c>
    </row>
    <row r="7">
      <c r="A7" s="2" t="s">
        <v>24</v>
      </c>
      <c r="B7" s="3" t="s">
        <v>17</v>
      </c>
      <c r="C7" s="3" t="s">
        <v>14</v>
      </c>
      <c r="D7" s="3" t="s">
        <v>21</v>
      </c>
      <c r="E7" s="4">
        <v>2.3</v>
      </c>
      <c r="F7" s="4">
        <v>558.0</v>
      </c>
      <c r="G7" s="5">
        <v>150.48</v>
      </c>
      <c r="H7" s="6">
        <v>169200.0</v>
      </c>
      <c r="I7" s="7">
        <v>3094422.0</v>
      </c>
      <c r="J7" s="8">
        <f t="shared" si="1"/>
        <v>5545.55914</v>
      </c>
      <c r="K7" s="9">
        <f t="shared" si="2"/>
        <v>1345400.87</v>
      </c>
      <c r="L7" s="2">
        <v>6.0</v>
      </c>
    </row>
    <row r="8">
      <c r="A8" s="2" t="s">
        <v>25</v>
      </c>
      <c r="B8" s="3" t="s">
        <v>17</v>
      </c>
      <c r="C8" s="3" t="s">
        <v>14</v>
      </c>
      <c r="D8" s="3" t="s">
        <v>19</v>
      </c>
      <c r="E8" s="4">
        <v>2.45</v>
      </c>
      <c r="F8" s="4">
        <v>581.0</v>
      </c>
      <c r="G8" s="5">
        <v>150.38</v>
      </c>
      <c r="H8" s="6">
        <v>168216.0</v>
      </c>
      <c r="I8" s="7">
        <v>2915423.0</v>
      </c>
      <c r="J8" s="8">
        <f t="shared" si="1"/>
        <v>5017.939759</v>
      </c>
      <c r="K8" s="9">
        <f t="shared" si="2"/>
        <v>1189968.571</v>
      </c>
      <c r="L8" s="2">
        <v>7.0</v>
      </c>
    </row>
    <row r="9">
      <c r="A9" s="2" t="s">
        <v>26</v>
      </c>
      <c r="B9" s="3" t="s">
        <v>13</v>
      </c>
      <c r="C9" s="3" t="s">
        <v>18</v>
      </c>
      <c r="D9" s="3" t="s">
        <v>19</v>
      </c>
      <c r="E9" s="4">
        <v>3.0</v>
      </c>
      <c r="F9" s="4">
        <v>607.0</v>
      </c>
      <c r="G9" s="10">
        <v>148.61</v>
      </c>
      <c r="H9" s="11">
        <v>150554.0</v>
      </c>
      <c r="I9" s="12">
        <v>2939646.0</v>
      </c>
      <c r="J9" s="8">
        <f t="shared" si="1"/>
        <v>4842.90939</v>
      </c>
      <c r="K9" s="9">
        <f t="shared" si="2"/>
        <v>979882</v>
      </c>
      <c r="L9" s="2">
        <v>8.0</v>
      </c>
    </row>
    <row r="10">
      <c r="A10" s="2" t="s">
        <v>27</v>
      </c>
      <c r="B10" s="3" t="s">
        <v>13</v>
      </c>
      <c r="C10" s="3" t="s">
        <v>14</v>
      </c>
      <c r="D10" s="3" t="s">
        <v>19</v>
      </c>
      <c r="E10" s="4">
        <v>3.35</v>
      </c>
      <c r="F10" s="4">
        <v>659.0</v>
      </c>
      <c r="G10" s="5">
        <v>143.43</v>
      </c>
      <c r="H10" s="6">
        <v>98683.0</v>
      </c>
      <c r="I10" s="7">
        <v>3107370.0</v>
      </c>
      <c r="J10" s="8">
        <f t="shared" si="1"/>
        <v>4715.280728</v>
      </c>
      <c r="K10" s="9">
        <f t="shared" si="2"/>
        <v>927573.1343</v>
      </c>
      <c r="L10" s="2">
        <v>9.0</v>
      </c>
    </row>
    <row r="11">
      <c r="A11" s="2" t="s">
        <v>28</v>
      </c>
      <c r="B11" s="3" t="s">
        <v>13</v>
      </c>
      <c r="C11" s="3" t="s">
        <v>14</v>
      </c>
      <c r="D11" s="3" t="s">
        <v>19</v>
      </c>
      <c r="E11" s="4">
        <v>3.05</v>
      </c>
      <c r="F11" s="4">
        <v>570.0</v>
      </c>
      <c r="G11" s="5">
        <v>142.08</v>
      </c>
      <c r="H11" s="6">
        <v>85172.0</v>
      </c>
      <c r="I11" s="7">
        <v>2842795.0</v>
      </c>
      <c r="J11" s="8">
        <f t="shared" si="1"/>
        <v>4987.359649</v>
      </c>
      <c r="K11" s="9">
        <f t="shared" si="2"/>
        <v>932063.9344</v>
      </c>
      <c r="L11" s="2">
        <v>10.0</v>
      </c>
    </row>
    <row r="12">
      <c r="A12" s="2" t="s">
        <v>29</v>
      </c>
      <c r="B12" s="3" t="s">
        <v>17</v>
      </c>
      <c r="C12" s="3" t="s">
        <v>14</v>
      </c>
      <c r="D12" s="3" t="s">
        <v>19</v>
      </c>
      <c r="E12" s="4">
        <v>2.375</v>
      </c>
      <c r="F12" s="4">
        <v>586.0</v>
      </c>
      <c r="G12" s="5">
        <v>139.43</v>
      </c>
      <c r="H12" s="6">
        <v>58703.0</v>
      </c>
      <c r="I12" s="7">
        <v>2863993.0</v>
      </c>
      <c r="J12" s="8">
        <f t="shared" si="1"/>
        <v>4887.360068</v>
      </c>
      <c r="K12" s="9">
        <f t="shared" si="2"/>
        <v>1205891.789</v>
      </c>
      <c r="L12" s="2">
        <v>11.0</v>
      </c>
    </row>
    <row r="13">
      <c r="A13" s="2" t="s">
        <v>30</v>
      </c>
      <c r="B13" s="3" t="s">
        <v>13</v>
      </c>
      <c r="C13" s="3" t="s">
        <v>14</v>
      </c>
      <c r="D13" s="3" t="s">
        <v>19</v>
      </c>
      <c r="E13" s="4">
        <v>3.05</v>
      </c>
      <c r="F13" s="4">
        <v>590.0</v>
      </c>
      <c r="G13" s="5">
        <v>138.09</v>
      </c>
      <c r="H13" s="6">
        <v>45289.0</v>
      </c>
      <c r="I13" s="7">
        <v>2900959.0</v>
      </c>
      <c r="J13" s="8">
        <f t="shared" si="1"/>
        <v>4916.879661</v>
      </c>
      <c r="K13" s="9">
        <f t="shared" si="2"/>
        <v>951134.0984</v>
      </c>
      <c r="L13" s="2">
        <v>12.0</v>
      </c>
    </row>
    <row r="14">
      <c r="A14" s="2" t="s">
        <v>31</v>
      </c>
      <c r="B14" s="3" t="s">
        <v>17</v>
      </c>
      <c r="C14" s="3" t="s">
        <v>14</v>
      </c>
      <c r="D14" s="3" t="s">
        <v>19</v>
      </c>
      <c r="E14" s="4">
        <v>2.425</v>
      </c>
      <c r="F14" s="4">
        <v>572.0</v>
      </c>
      <c r="G14" s="5">
        <v>134.98</v>
      </c>
      <c r="H14" s="6">
        <v>14243.0</v>
      </c>
      <c r="I14" s="7">
        <v>2914151.0</v>
      </c>
      <c r="J14" s="8">
        <f t="shared" si="1"/>
        <v>5094.66958</v>
      </c>
      <c r="K14" s="9">
        <f t="shared" si="2"/>
        <v>1201711.753</v>
      </c>
      <c r="L14" s="2">
        <v>13.0</v>
      </c>
    </row>
    <row r="15">
      <c r="A15" s="2" t="s">
        <v>32</v>
      </c>
      <c r="B15" s="3" t="s">
        <v>17</v>
      </c>
      <c r="C15" s="3" t="s">
        <v>14</v>
      </c>
      <c r="D15" s="3" t="s">
        <v>15</v>
      </c>
      <c r="E15" s="4">
        <v>2.625</v>
      </c>
      <c r="F15" s="4">
        <v>562.0</v>
      </c>
      <c r="G15" s="5">
        <v>129.87</v>
      </c>
      <c r="H15" s="6">
        <v>-36937.0</v>
      </c>
      <c r="I15" s="7">
        <v>2812743.0</v>
      </c>
      <c r="J15" s="8">
        <f t="shared" si="1"/>
        <v>5004.880783</v>
      </c>
      <c r="K15" s="9">
        <f t="shared" si="2"/>
        <v>1071521.143</v>
      </c>
      <c r="L15" s="2">
        <v>14.0</v>
      </c>
    </row>
    <row r="16">
      <c r="A16" s="2" t="s">
        <v>33</v>
      </c>
      <c r="B16" s="3" t="s">
        <v>13</v>
      </c>
      <c r="C16" s="3" t="s">
        <v>14</v>
      </c>
      <c r="D16" s="3" t="s">
        <v>19</v>
      </c>
      <c r="E16" s="4">
        <v>3.15</v>
      </c>
      <c r="F16" s="4">
        <v>559.0</v>
      </c>
      <c r="G16" s="5">
        <v>117.86</v>
      </c>
      <c r="H16" s="6">
        <v>-156962.0</v>
      </c>
      <c r="I16" s="7">
        <v>2753226.0</v>
      </c>
      <c r="J16" s="8">
        <f t="shared" si="1"/>
        <v>4925.270125</v>
      </c>
      <c r="K16" s="9">
        <f t="shared" si="2"/>
        <v>874040</v>
      </c>
      <c r="L16" s="2">
        <v>15.0</v>
      </c>
    </row>
    <row r="17">
      <c r="A17" s="13"/>
    </row>
    <row r="18">
      <c r="A18" s="13"/>
    </row>
    <row r="19">
      <c r="A19" s="13"/>
    </row>
    <row r="21">
      <c r="A21" s="13"/>
    </row>
    <row r="22">
      <c r="A22" s="13"/>
    </row>
    <row r="24">
      <c r="A24" s="13"/>
    </row>
    <row r="25">
      <c r="A25" s="13"/>
    </row>
    <row r="27">
      <c r="A27" s="13"/>
    </row>
    <row r="28">
      <c r="A28" s="13"/>
    </row>
    <row r="30">
      <c r="A30" s="13"/>
    </row>
    <row r="31">
      <c r="A31" s="13"/>
    </row>
    <row r="33">
      <c r="A33" s="14"/>
    </row>
    <row r="34">
      <c r="A34" s="14"/>
    </row>
    <row r="36">
      <c r="A36" s="13"/>
    </row>
    <row r="37">
      <c r="A37" s="13"/>
    </row>
    <row r="39">
      <c r="A39" s="13"/>
    </row>
    <row r="40">
      <c r="A40" s="13"/>
    </row>
    <row r="42">
      <c r="A42" s="13"/>
    </row>
    <row r="43">
      <c r="A43" s="13"/>
    </row>
    <row r="45">
      <c r="A45" s="13"/>
    </row>
    <row r="46">
      <c r="A46" s="13"/>
    </row>
    <row r="48">
      <c r="A48" s="13"/>
    </row>
    <row r="49">
      <c r="A49" s="13"/>
    </row>
    <row r="51">
      <c r="A51" s="13"/>
    </row>
    <row r="52">
      <c r="A52" s="13"/>
    </row>
    <row r="54">
      <c r="A54" s="13"/>
    </row>
    <row r="55">
      <c r="A55" s="13"/>
    </row>
    <row r="57">
      <c r="A57" s="13"/>
    </row>
    <row r="58">
      <c r="A58" s="13"/>
    </row>
    <row r="60">
      <c r="A60" s="13"/>
    </row>
    <row r="61">
      <c r="A61" s="13"/>
    </row>
  </sheetData>
  <autoFilter ref="$A$1:$L$16">
    <sortState ref="A1:L16">
      <sortCondition descending="1" ref="G1:G16"/>
      <sortCondition descending="1" ref="H1:H16"/>
      <sortCondition ref="J1:J16"/>
      <sortCondition descending="1" ref="F1:F16"/>
      <sortCondition ref="K1:K16"/>
      <sortCondition descending="1" ref="I1:I16"/>
    </sortState>
  </autoFilter>
  <customSheetViews>
    <customSheetView guid="{967B2E8E-DD95-4C9C-8707-68EA029C1B40}" filter="1" showAutoFilter="1">
      <autoFilter ref="$A$1:$G$16">
        <sortState ref="A1:G16">
          <sortCondition descending="1" ref="G1:G16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35</v>
      </c>
      <c r="L1" s="1" t="s">
        <v>36</v>
      </c>
      <c r="M1" s="1" t="s">
        <v>10</v>
      </c>
      <c r="N1" s="2" t="s">
        <v>11</v>
      </c>
      <c r="O1" s="15" t="s">
        <v>37</v>
      </c>
    </row>
    <row r="2">
      <c r="A2" s="2" t="s">
        <v>26</v>
      </c>
      <c r="B2" s="3" t="s">
        <v>13</v>
      </c>
      <c r="C2" s="3" t="s">
        <v>38</v>
      </c>
      <c r="D2" s="3" t="s">
        <v>14</v>
      </c>
      <c r="E2" s="3" t="s">
        <v>15</v>
      </c>
      <c r="F2" s="16" t="s">
        <v>39</v>
      </c>
      <c r="G2" s="3" t="s">
        <v>40</v>
      </c>
      <c r="H2" s="17" t="s">
        <v>41</v>
      </c>
      <c r="I2" s="7">
        <v>239765.0</v>
      </c>
      <c r="J2" s="6" t="str">
        <f t="shared" ref="J2:J16" si="1">SUBSTITUTE(J37,"$", "")</f>
        <v>3,246,947</v>
      </c>
      <c r="K2" s="18">
        <f t="shared" ref="K2:K16" si="2">J2-I2</f>
        <v>3007182</v>
      </c>
      <c r="L2" s="16">
        <f t="shared" ref="L2:L16" si="3">J2/G2</f>
        <v>4645.131617</v>
      </c>
      <c r="M2" s="19">
        <f t="shared" ref="M2:M16" si="4">J2/F2</f>
        <v>848875.0327</v>
      </c>
      <c r="N2" s="2">
        <v>2.0</v>
      </c>
      <c r="O2" s="20">
        <f t="shared" ref="O2:O16" si="5">K2/J2</f>
        <v>0.9261567867</v>
      </c>
    </row>
    <row r="3">
      <c r="A3" s="2" t="s">
        <v>33</v>
      </c>
      <c r="B3" s="3" t="s">
        <v>13</v>
      </c>
      <c r="C3" s="3" t="s">
        <v>38</v>
      </c>
      <c r="D3" s="3" t="s">
        <v>14</v>
      </c>
      <c r="E3" s="3" t="s">
        <v>19</v>
      </c>
      <c r="F3" s="16" t="s">
        <v>42</v>
      </c>
      <c r="G3" s="3" t="s">
        <v>43</v>
      </c>
      <c r="H3" s="17" t="s">
        <v>44</v>
      </c>
      <c r="I3" s="7">
        <v>266456.0</v>
      </c>
      <c r="J3" s="6" t="str">
        <f t="shared" si="1"/>
        <v>3,518,539</v>
      </c>
      <c r="K3" s="18">
        <f t="shared" si="2"/>
        <v>3252083</v>
      </c>
      <c r="L3" s="16">
        <f t="shared" si="3"/>
        <v>5121.599709</v>
      </c>
      <c r="M3" s="19">
        <f t="shared" si="4"/>
        <v>1042530.074</v>
      </c>
      <c r="N3" s="2">
        <v>1.0</v>
      </c>
      <c r="O3" s="20">
        <f t="shared" si="5"/>
        <v>0.9242708408</v>
      </c>
    </row>
    <row r="4">
      <c r="A4" s="2" t="s">
        <v>27</v>
      </c>
      <c r="B4" s="3" t="s">
        <v>13</v>
      </c>
      <c r="C4" s="3" t="s">
        <v>38</v>
      </c>
      <c r="D4" s="3" t="s">
        <v>14</v>
      </c>
      <c r="E4" s="3" t="s">
        <v>19</v>
      </c>
      <c r="F4" s="16" t="s">
        <v>45</v>
      </c>
      <c r="G4" s="3" t="s">
        <v>46</v>
      </c>
      <c r="H4" s="17" t="s">
        <v>47</v>
      </c>
      <c r="I4" s="7">
        <v>184125.0</v>
      </c>
      <c r="J4" s="6" t="str">
        <f t="shared" si="1"/>
        <v>3,151,431</v>
      </c>
      <c r="K4" s="18">
        <f t="shared" si="2"/>
        <v>2967306</v>
      </c>
      <c r="L4" s="16">
        <f t="shared" si="3"/>
        <v>4782.141123</v>
      </c>
      <c r="M4" s="19">
        <f t="shared" si="4"/>
        <v>940725.6716</v>
      </c>
      <c r="N4" s="2">
        <v>6.0</v>
      </c>
      <c r="O4" s="20">
        <f t="shared" si="5"/>
        <v>0.9415741611</v>
      </c>
    </row>
    <row r="5">
      <c r="A5" s="2" t="s">
        <v>30</v>
      </c>
      <c r="B5" s="3" t="s">
        <v>13</v>
      </c>
      <c r="C5" s="3" t="s">
        <v>38</v>
      </c>
      <c r="D5" s="3" t="s">
        <v>14</v>
      </c>
      <c r="E5" s="3" t="s">
        <v>15</v>
      </c>
      <c r="F5" s="16" t="s">
        <v>48</v>
      </c>
      <c r="G5" s="3" t="s">
        <v>49</v>
      </c>
      <c r="H5" s="17" t="s">
        <v>50</v>
      </c>
      <c r="I5" s="7">
        <v>40862.0</v>
      </c>
      <c r="J5" s="6" t="str">
        <f t="shared" si="1"/>
        <v>2,989,429</v>
      </c>
      <c r="K5" s="18">
        <f t="shared" si="2"/>
        <v>2948567</v>
      </c>
      <c r="L5" s="16">
        <f t="shared" si="3"/>
        <v>4908.750411</v>
      </c>
      <c r="M5" s="19">
        <f t="shared" si="4"/>
        <v>905887.5758</v>
      </c>
      <c r="N5" s="2">
        <v>13.0</v>
      </c>
      <c r="O5" s="20">
        <f t="shared" si="5"/>
        <v>0.9863311689</v>
      </c>
    </row>
    <row r="6">
      <c r="A6" s="2" t="s">
        <v>12</v>
      </c>
      <c r="B6" s="3" t="s">
        <v>13</v>
      </c>
      <c r="C6" s="3" t="s">
        <v>38</v>
      </c>
      <c r="D6" s="3" t="s">
        <v>14</v>
      </c>
      <c r="E6" s="3" t="s">
        <v>15</v>
      </c>
      <c r="F6" s="16" t="s">
        <v>51</v>
      </c>
      <c r="G6" s="3" t="s">
        <v>52</v>
      </c>
      <c r="H6" s="17" t="s">
        <v>53</v>
      </c>
      <c r="I6" s="7">
        <v>227057.0</v>
      </c>
      <c r="J6" s="6" t="str">
        <f t="shared" si="1"/>
        <v>2,983,764</v>
      </c>
      <c r="K6" s="18">
        <f t="shared" si="2"/>
        <v>2756707</v>
      </c>
      <c r="L6" s="16">
        <f t="shared" si="3"/>
        <v>4305.575758</v>
      </c>
      <c r="M6" s="19">
        <f t="shared" si="4"/>
        <v>823107.3103</v>
      </c>
      <c r="N6" s="2">
        <v>3.0</v>
      </c>
      <c r="O6" s="20">
        <f t="shared" si="5"/>
        <v>0.9239024936</v>
      </c>
    </row>
    <row r="7">
      <c r="A7" s="2" t="s">
        <v>29</v>
      </c>
      <c r="B7" s="3" t="s">
        <v>13</v>
      </c>
      <c r="C7" s="3" t="s">
        <v>38</v>
      </c>
      <c r="D7" s="3" t="s">
        <v>14</v>
      </c>
      <c r="E7" s="3" t="s">
        <v>19</v>
      </c>
      <c r="F7" s="16" t="s">
        <v>54</v>
      </c>
      <c r="G7" s="3" t="s">
        <v>55</v>
      </c>
      <c r="H7" s="17" t="s">
        <v>56</v>
      </c>
      <c r="I7" s="7">
        <v>115771.0</v>
      </c>
      <c r="J7" s="6" t="str">
        <f t="shared" si="1"/>
        <v>3,202,740</v>
      </c>
      <c r="K7" s="18">
        <f t="shared" si="2"/>
        <v>3086969</v>
      </c>
      <c r="L7" s="16">
        <f t="shared" si="3"/>
        <v>5149.099678</v>
      </c>
      <c r="M7" s="19">
        <f t="shared" si="4"/>
        <v>935106.5693</v>
      </c>
      <c r="N7" s="2">
        <v>9.0</v>
      </c>
      <c r="O7" s="20">
        <f t="shared" si="5"/>
        <v>0.9638525138</v>
      </c>
    </row>
    <row r="8">
      <c r="A8" s="2" t="s">
        <v>24</v>
      </c>
      <c r="B8" s="3" t="s">
        <v>17</v>
      </c>
      <c r="C8" s="3" t="s">
        <v>38</v>
      </c>
      <c r="D8" s="3" t="s">
        <v>18</v>
      </c>
      <c r="E8" s="3" t="s">
        <v>21</v>
      </c>
      <c r="F8" s="16" t="s">
        <v>57</v>
      </c>
      <c r="G8" s="3" t="s">
        <v>58</v>
      </c>
      <c r="H8" s="17" t="s">
        <v>59</v>
      </c>
      <c r="I8" s="7">
        <v>146346.0</v>
      </c>
      <c r="J8" s="6" t="str">
        <f t="shared" si="1"/>
        <v>3,015,093</v>
      </c>
      <c r="K8" s="18">
        <f t="shared" si="2"/>
        <v>2868747</v>
      </c>
      <c r="L8" s="16">
        <f t="shared" si="3"/>
        <v>5243.64</v>
      </c>
      <c r="M8" s="19">
        <f t="shared" si="4"/>
        <v>1310910</v>
      </c>
      <c r="N8" s="2">
        <v>7.0</v>
      </c>
      <c r="O8" s="20">
        <f t="shared" si="5"/>
        <v>0.9514621937</v>
      </c>
    </row>
    <row r="9">
      <c r="A9" s="2" t="s">
        <v>20</v>
      </c>
      <c r="B9" s="3" t="s">
        <v>17</v>
      </c>
      <c r="C9" s="3" t="s">
        <v>38</v>
      </c>
      <c r="D9" s="3" t="s">
        <v>14</v>
      </c>
      <c r="E9" s="3" t="s">
        <v>21</v>
      </c>
      <c r="F9" s="16" t="s">
        <v>60</v>
      </c>
      <c r="G9" s="3" t="s">
        <v>61</v>
      </c>
      <c r="H9" s="17" t="s">
        <v>62</v>
      </c>
      <c r="I9" s="7">
        <v>222319.0</v>
      </c>
      <c r="J9" s="6" t="str">
        <f t="shared" si="1"/>
        <v>2,934,825</v>
      </c>
      <c r="K9" s="18">
        <f t="shared" si="2"/>
        <v>2712506</v>
      </c>
      <c r="L9" s="16">
        <f t="shared" si="3"/>
        <v>4834.967051</v>
      </c>
      <c r="M9" s="19">
        <f t="shared" si="4"/>
        <v>1162306.931</v>
      </c>
      <c r="N9" s="2">
        <v>4.0</v>
      </c>
      <c r="O9" s="20">
        <f t="shared" si="5"/>
        <v>0.9242479535</v>
      </c>
    </row>
    <row r="10">
      <c r="A10" s="2" t="s">
        <v>23</v>
      </c>
      <c r="B10" s="3" t="s">
        <v>13</v>
      </c>
      <c r="C10" s="3" t="s">
        <v>38</v>
      </c>
      <c r="D10" s="3" t="s">
        <v>14</v>
      </c>
      <c r="E10" s="3" t="s">
        <v>19</v>
      </c>
      <c r="F10" s="16" t="s">
        <v>63</v>
      </c>
      <c r="G10" s="3" t="s">
        <v>64</v>
      </c>
      <c r="H10" s="17" t="s">
        <v>65</v>
      </c>
      <c r="I10" s="7">
        <v>221086.0</v>
      </c>
      <c r="J10" s="6" t="str">
        <f t="shared" si="1"/>
        <v>3,068,600</v>
      </c>
      <c r="K10" s="18">
        <f t="shared" si="2"/>
        <v>2847514</v>
      </c>
      <c r="L10" s="16">
        <f t="shared" si="3"/>
        <v>4396.275072</v>
      </c>
      <c r="M10" s="19">
        <f t="shared" si="4"/>
        <v>807526.3158</v>
      </c>
      <c r="N10" s="2">
        <v>5.0</v>
      </c>
      <c r="O10" s="20">
        <f t="shared" si="5"/>
        <v>0.9279521606</v>
      </c>
    </row>
    <row r="11">
      <c r="A11" s="2" t="s">
        <v>22</v>
      </c>
      <c r="B11" s="3" t="s">
        <v>13</v>
      </c>
      <c r="C11" s="3" t="s">
        <v>38</v>
      </c>
      <c r="D11" s="3" t="s">
        <v>14</v>
      </c>
      <c r="E11" s="3" t="s">
        <v>19</v>
      </c>
      <c r="F11" s="16" t="s">
        <v>66</v>
      </c>
      <c r="G11" s="3" t="s">
        <v>67</v>
      </c>
      <c r="H11" s="17" t="s">
        <v>68</v>
      </c>
      <c r="I11" s="7">
        <v>111508.0</v>
      </c>
      <c r="J11" s="6" t="str">
        <f t="shared" si="1"/>
        <v>2,976,532</v>
      </c>
      <c r="K11" s="18">
        <f t="shared" si="2"/>
        <v>2865024</v>
      </c>
      <c r="L11" s="16">
        <f t="shared" si="3"/>
        <v>4687.451969</v>
      </c>
      <c r="M11" s="19">
        <f t="shared" si="4"/>
        <v>844406.2411</v>
      </c>
      <c r="N11" s="2">
        <v>10.0</v>
      </c>
      <c r="O11" s="20">
        <f t="shared" si="5"/>
        <v>0.9625376109</v>
      </c>
    </row>
    <row r="12">
      <c r="A12" s="2" t="s">
        <v>28</v>
      </c>
      <c r="B12" s="3" t="s">
        <v>13</v>
      </c>
      <c r="C12" s="3" t="s">
        <v>69</v>
      </c>
      <c r="D12" s="3" t="s">
        <v>14</v>
      </c>
      <c r="E12" s="3" t="s">
        <v>19</v>
      </c>
      <c r="F12" s="16" t="s">
        <v>70</v>
      </c>
      <c r="G12" s="3" t="s">
        <v>71</v>
      </c>
      <c r="H12" s="17" t="s">
        <v>72</v>
      </c>
      <c r="I12" s="7">
        <v>81249.0</v>
      </c>
      <c r="J12" s="6" t="str">
        <f t="shared" si="1"/>
        <v>2,974,283</v>
      </c>
      <c r="K12" s="18">
        <f t="shared" si="2"/>
        <v>2893034</v>
      </c>
      <c r="L12" s="16">
        <f t="shared" si="3"/>
        <v>5218.040351</v>
      </c>
      <c r="M12" s="19">
        <f t="shared" si="4"/>
        <v>999758.9916</v>
      </c>
      <c r="N12" s="2">
        <v>11.0</v>
      </c>
      <c r="O12" s="20">
        <f t="shared" si="5"/>
        <v>0.9726828281</v>
      </c>
    </row>
    <row r="13">
      <c r="A13" s="2" t="s">
        <v>31</v>
      </c>
      <c r="B13" s="3" t="s">
        <v>13</v>
      </c>
      <c r="C13" s="3" t="s">
        <v>38</v>
      </c>
      <c r="D13" s="3" t="s">
        <v>14</v>
      </c>
      <c r="E13" s="3" t="s">
        <v>15</v>
      </c>
      <c r="F13" s="16" t="s">
        <v>42</v>
      </c>
      <c r="G13" s="3" t="s">
        <v>73</v>
      </c>
      <c r="H13" s="17" t="s">
        <v>74</v>
      </c>
      <c r="I13" s="7">
        <v>128398.0</v>
      </c>
      <c r="J13" s="6" t="str">
        <f t="shared" si="1"/>
        <v>2,905,632</v>
      </c>
      <c r="K13" s="18">
        <f t="shared" si="2"/>
        <v>2777234</v>
      </c>
      <c r="L13" s="16">
        <f t="shared" si="3"/>
        <v>4336.764179</v>
      </c>
      <c r="M13" s="19">
        <f t="shared" si="4"/>
        <v>860928</v>
      </c>
      <c r="N13" s="2">
        <v>8.0</v>
      </c>
      <c r="O13" s="20">
        <f t="shared" si="5"/>
        <v>0.9558106464</v>
      </c>
    </row>
    <row r="14">
      <c r="A14" s="2" t="s">
        <v>16</v>
      </c>
      <c r="B14" s="3" t="s">
        <v>17</v>
      </c>
      <c r="C14" s="3" t="s">
        <v>38</v>
      </c>
      <c r="D14" s="3" t="s">
        <v>14</v>
      </c>
      <c r="E14" s="3" t="s">
        <v>19</v>
      </c>
      <c r="F14" s="16" t="s">
        <v>75</v>
      </c>
      <c r="G14" s="3" t="s">
        <v>76</v>
      </c>
      <c r="H14" s="17" t="s">
        <v>77</v>
      </c>
      <c r="I14" s="7">
        <v>73818.0</v>
      </c>
      <c r="J14" s="6" t="str">
        <f t="shared" si="1"/>
        <v>3,163,633</v>
      </c>
      <c r="K14" s="18">
        <f t="shared" si="2"/>
        <v>3089815</v>
      </c>
      <c r="L14" s="16">
        <f t="shared" si="3"/>
        <v>5272.721667</v>
      </c>
      <c r="M14" s="19">
        <f t="shared" si="4"/>
        <v>1304590.928</v>
      </c>
      <c r="N14" s="2">
        <v>12.0</v>
      </c>
      <c r="O14" s="20">
        <f t="shared" si="5"/>
        <v>0.9766666993</v>
      </c>
    </row>
    <row r="15">
      <c r="A15" s="2" t="s">
        <v>25</v>
      </c>
      <c r="B15" s="3" t="s">
        <v>17</v>
      </c>
      <c r="C15" s="3" t="s">
        <v>38</v>
      </c>
      <c r="D15" s="3" t="s">
        <v>14</v>
      </c>
      <c r="E15" s="3" t="s">
        <v>19</v>
      </c>
      <c r="F15" s="16" t="s">
        <v>78</v>
      </c>
      <c r="G15" s="3" t="s">
        <v>79</v>
      </c>
      <c r="H15" s="17" t="s">
        <v>80</v>
      </c>
      <c r="I15" s="7">
        <v>14284.0</v>
      </c>
      <c r="J15" s="6" t="str">
        <f t="shared" si="1"/>
        <v>2,866,683</v>
      </c>
      <c r="K15" s="18">
        <f t="shared" si="2"/>
        <v>2852399</v>
      </c>
      <c r="L15" s="16">
        <f t="shared" si="3"/>
        <v>4769.855241</v>
      </c>
      <c r="M15" s="19">
        <f t="shared" si="4"/>
        <v>1124189.412</v>
      </c>
      <c r="N15" s="2">
        <v>14.0</v>
      </c>
      <c r="O15" s="20">
        <f t="shared" si="5"/>
        <v>0.9950172377</v>
      </c>
    </row>
    <row r="16">
      <c r="A16" s="2" t="s">
        <v>32</v>
      </c>
      <c r="B16" s="3" t="s">
        <v>17</v>
      </c>
      <c r="C16" s="3" t="s">
        <v>38</v>
      </c>
      <c r="D16" s="3" t="s">
        <v>14</v>
      </c>
      <c r="E16" s="3" t="s">
        <v>15</v>
      </c>
      <c r="F16" s="16" t="s">
        <v>81</v>
      </c>
      <c r="G16" s="3" t="s">
        <v>58</v>
      </c>
      <c r="H16" s="17" t="s">
        <v>82</v>
      </c>
      <c r="I16" s="7">
        <v>-63661.0</v>
      </c>
      <c r="J16" s="6" t="str">
        <f t="shared" si="1"/>
        <v>2,838,384</v>
      </c>
      <c r="K16" s="18">
        <f t="shared" si="2"/>
        <v>2902045</v>
      </c>
      <c r="L16" s="16">
        <f t="shared" si="3"/>
        <v>4936.32</v>
      </c>
      <c r="M16" s="19">
        <f t="shared" si="4"/>
        <v>1091686.154</v>
      </c>
      <c r="N16" s="2">
        <v>15.0</v>
      </c>
      <c r="O16" s="20">
        <f t="shared" si="5"/>
        <v>1.022428607</v>
      </c>
    </row>
    <row r="17">
      <c r="E17" s="16" t="str">
        <f t="shared" ref="E17:E30" si="6">SUBSTITUTE(E32, " / 5", "")</f>
        <v/>
      </c>
    </row>
    <row r="18">
      <c r="A18" s="13"/>
      <c r="E18" s="16" t="str">
        <f t="shared" si="6"/>
        <v/>
      </c>
    </row>
    <row r="19">
      <c r="E19" s="16" t="str">
        <f t="shared" si="6"/>
        <v/>
      </c>
    </row>
    <row r="20">
      <c r="A20" s="13"/>
      <c r="E20" s="16" t="str">
        <f t="shared" si="6"/>
        <v/>
      </c>
    </row>
    <row r="21">
      <c r="A21" s="13"/>
      <c r="E21" s="16" t="str">
        <f t="shared" si="6"/>
        <v/>
      </c>
    </row>
    <row r="22">
      <c r="C22" s="2" t="s">
        <v>33</v>
      </c>
      <c r="D22" s="1">
        <v>200.0</v>
      </c>
      <c r="E22" s="16" t="str">
        <f t="shared" si="6"/>
        <v/>
      </c>
    </row>
    <row r="23">
      <c r="A23" s="13"/>
      <c r="C23" s="2" t="s">
        <v>26</v>
      </c>
      <c r="D23" s="1">
        <v>200.0</v>
      </c>
      <c r="E23" s="16" t="str">
        <f t="shared" si="6"/>
        <v/>
      </c>
    </row>
    <row r="24">
      <c r="A24" s="13"/>
      <c r="C24" s="2" t="s">
        <v>12</v>
      </c>
      <c r="D24" s="1">
        <v>200.0</v>
      </c>
      <c r="E24" s="16" t="str">
        <f t="shared" si="6"/>
        <v/>
      </c>
    </row>
    <row r="25">
      <c r="C25" s="2" t="s">
        <v>20</v>
      </c>
      <c r="D25" s="1">
        <v>200.0</v>
      </c>
      <c r="E25" s="16" t="str">
        <f t="shared" si="6"/>
        <v/>
      </c>
    </row>
    <row r="26">
      <c r="A26" s="13"/>
      <c r="C26" s="2" t="s">
        <v>23</v>
      </c>
      <c r="D26" s="1">
        <v>200.0</v>
      </c>
      <c r="E26" s="16" t="str">
        <f t="shared" si="6"/>
        <v/>
      </c>
    </row>
    <row r="27">
      <c r="A27" s="13"/>
      <c r="C27" s="2" t="s">
        <v>27</v>
      </c>
      <c r="D27" s="1">
        <v>200.0</v>
      </c>
      <c r="E27" s="16" t="str">
        <f t="shared" si="6"/>
        <v/>
      </c>
    </row>
    <row r="28">
      <c r="C28" s="2" t="s">
        <v>24</v>
      </c>
      <c r="D28" s="1">
        <v>200.0</v>
      </c>
      <c r="E28" s="16" t="str">
        <f t="shared" si="6"/>
        <v/>
      </c>
    </row>
    <row r="29">
      <c r="C29" s="2" t="s">
        <v>31</v>
      </c>
      <c r="D29" s="1">
        <v>200.0</v>
      </c>
      <c r="E29" s="16" t="str">
        <f t="shared" si="6"/>
        <v/>
      </c>
    </row>
    <row r="30">
      <c r="C30" s="2" t="s">
        <v>29</v>
      </c>
      <c r="D30" s="1">
        <v>200.0</v>
      </c>
      <c r="E30" s="16" t="str">
        <f t="shared" si="6"/>
        <v/>
      </c>
    </row>
    <row r="31">
      <c r="C31" s="2" t="s">
        <v>22</v>
      </c>
      <c r="D31" s="1">
        <v>200.0</v>
      </c>
    </row>
    <row r="32">
      <c r="C32" s="2" t="s">
        <v>28</v>
      </c>
      <c r="D32" s="1">
        <v>200.0</v>
      </c>
    </row>
    <row r="33">
      <c r="C33" s="2" t="s">
        <v>16</v>
      </c>
      <c r="D33" s="1">
        <v>200.0</v>
      </c>
    </row>
    <row r="34">
      <c r="C34" s="2" t="s">
        <v>30</v>
      </c>
      <c r="D34" s="1">
        <v>200.0</v>
      </c>
    </row>
    <row r="35">
      <c r="C35" s="2" t="s">
        <v>25</v>
      </c>
      <c r="D35" s="1">
        <v>200.0</v>
      </c>
    </row>
    <row r="36">
      <c r="C36" s="2" t="s">
        <v>32</v>
      </c>
      <c r="D36" s="1">
        <v>200.0</v>
      </c>
    </row>
    <row r="37">
      <c r="F37" s="3" t="s">
        <v>83</v>
      </c>
      <c r="G37" s="3" t="s">
        <v>84</v>
      </c>
      <c r="H37" s="17">
        <v>160.2</v>
      </c>
      <c r="I37" s="6">
        <v>266456.0</v>
      </c>
      <c r="J37" s="6">
        <v>3246947.0</v>
      </c>
      <c r="K37" s="18">
        <f t="shared" ref="K37:K52" si="7">J37-I37</f>
        <v>2980491</v>
      </c>
    </row>
    <row r="38">
      <c r="F38" s="3" t="s">
        <v>85</v>
      </c>
      <c r="G38" s="3" t="s">
        <v>86</v>
      </c>
      <c r="H38" s="17">
        <v>157.54</v>
      </c>
      <c r="I38" s="11">
        <v>239765.0</v>
      </c>
      <c r="J38" s="11">
        <v>3518539.0</v>
      </c>
      <c r="K38" s="18">
        <f t="shared" si="7"/>
        <v>3278774</v>
      </c>
    </row>
    <row r="39">
      <c r="F39" s="3" t="s">
        <v>87</v>
      </c>
      <c r="G39" s="3" t="s">
        <v>88</v>
      </c>
      <c r="H39" s="17">
        <v>156.27</v>
      </c>
      <c r="I39" s="6">
        <v>227057.0</v>
      </c>
      <c r="J39" s="6">
        <v>3151431.0</v>
      </c>
      <c r="K39" s="18">
        <f t="shared" si="7"/>
        <v>2924374</v>
      </c>
    </row>
    <row r="40">
      <c r="F40" s="3" t="s">
        <v>89</v>
      </c>
      <c r="G40" s="3" t="s">
        <v>90</v>
      </c>
      <c r="H40" s="17">
        <v>155.79</v>
      </c>
      <c r="I40" s="6">
        <v>222319.0</v>
      </c>
      <c r="J40" s="6">
        <v>2989429.0</v>
      </c>
      <c r="K40" s="18">
        <f t="shared" si="7"/>
        <v>2767110</v>
      </c>
    </row>
    <row r="41">
      <c r="F41" s="3" t="s">
        <v>91</v>
      </c>
      <c r="G41" s="3" t="s">
        <v>92</v>
      </c>
      <c r="H41" s="17">
        <v>155.67</v>
      </c>
      <c r="I41" s="6">
        <v>221086.0</v>
      </c>
      <c r="J41" s="6">
        <v>2983764.0</v>
      </c>
      <c r="K41" s="18">
        <f t="shared" si="7"/>
        <v>2762678</v>
      </c>
    </row>
    <row r="42">
      <c r="F42" s="3" t="s">
        <v>93</v>
      </c>
      <c r="G42" s="3" t="s">
        <v>94</v>
      </c>
      <c r="H42" s="17">
        <v>151.97</v>
      </c>
      <c r="I42" s="6">
        <v>184125.0</v>
      </c>
      <c r="J42" s="6">
        <v>3202740.0</v>
      </c>
      <c r="K42" s="18">
        <f t="shared" si="7"/>
        <v>3018615</v>
      </c>
    </row>
    <row r="43">
      <c r="F43" s="3" t="s">
        <v>95</v>
      </c>
      <c r="G43" s="3" t="s">
        <v>96</v>
      </c>
      <c r="H43" s="17">
        <v>148.19</v>
      </c>
      <c r="I43" s="6">
        <v>146346.0</v>
      </c>
      <c r="J43" s="6">
        <v>3015093.0</v>
      </c>
      <c r="K43" s="18">
        <f t="shared" si="7"/>
        <v>2868747</v>
      </c>
    </row>
    <row r="44">
      <c r="F44" s="3" t="s">
        <v>83</v>
      </c>
      <c r="G44" s="3" t="s">
        <v>97</v>
      </c>
      <c r="H44" s="17">
        <v>146.4</v>
      </c>
      <c r="I44" s="6">
        <v>128398.0</v>
      </c>
      <c r="J44" s="6">
        <v>2934825.0</v>
      </c>
      <c r="K44" s="18">
        <f t="shared" si="7"/>
        <v>2806427</v>
      </c>
    </row>
    <row r="45">
      <c r="F45" s="3" t="s">
        <v>98</v>
      </c>
      <c r="G45" s="3" t="s">
        <v>99</v>
      </c>
      <c r="H45" s="17">
        <v>145.14</v>
      </c>
      <c r="I45" s="6">
        <v>115771.0</v>
      </c>
      <c r="J45" s="6">
        <v>3068600.0</v>
      </c>
      <c r="K45" s="18">
        <f t="shared" si="7"/>
        <v>2952829</v>
      </c>
    </row>
    <row r="46">
      <c r="F46" s="3" t="s">
        <v>100</v>
      </c>
      <c r="G46" s="3" t="s">
        <v>101</v>
      </c>
      <c r="H46" s="17">
        <v>144.71</v>
      </c>
      <c r="I46" s="6">
        <v>111508.0</v>
      </c>
      <c r="J46" s="6">
        <v>2976532.0</v>
      </c>
      <c r="K46" s="18">
        <f t="shared" si="7"/>
        <v>2865024</v>
      </c>
    </row>
    <row r="47">
      <c r="F47" s="3" t="s">
        <v>102</v>
      </c>
      <c r="G47" s="3" t="s">
        <v>103</v>
      </c>
      <c r="H47" s="17">
        <v>141.68</v>
      </c>
      <c r="I47" s="6">
        <v>81249.0</v>
      </c>
      <c r="J47" s="6">
        <v>2974283.0</v>
      </c>
      <c r="K47" s="18">
        <f t="shared" si="7"/>
        <v>2893034</v>
      </c>
    </row>
    <row r="48">
      <c r="F48" s="3" t="s">
        <v>104</v>
      </c>
      <c r="G48" s="3" t="s">
        <v>105</v>
      </c>
      <c r="H48" s="17">
        <v>140.94</v>
      </c>
      <c r="I48" s="6">
        <v>73818.0</v>
      </c>
      <c r="J48" s="6">
        <v>2905632.0</v>
      </c>
      <c r="K48" s="18">
        <f t="shared" si="7"/>
        <v>2831814</v>
      </c>
    </row>
    <row r="49">
      <c r="F49" s="3" t="s">
        <v>106</v>
      </c>
      <c r="G49" s="3" t="s">
        <v>107</v>
      </c>
      <c r="H49" s="17">
        <v>137.65</v>
      </c>
      <c r="I49" s="6">
        <v>40862.0</v>
      </c>
      <c r="J49" s="6">
        <v>3163633.0</v>
      </c>
      <c r="K49" s="18">
        <f t="shared" si="7"/>
        <v>3122771</v>
      </c>
    </row>
    <row r="50">
      <c r="F50" s="3" t="s">
        <v>108</v>
      </c>
      <c r="G50" s="3" t="s">
        <v>109</v>
      </c>
      <c r="H50" s="17">
        <v>134.99</v>
      </c>
      <c r="I50" s="6">
        <v>14284.0</v>
      </c>
      <c r="J50" s="6">
        <v>2866683.0</v>
      </c>
      <c r="K50" s="18">
        <f t="shared" si="7"/>
        <v>2852399</v>
      </c>
    </row>
    <row r="51">
      <c r="F51" s="3" t="s">
        <v>110</v>
      </c>
      <c r="G51" s="3" t="s">
        <v>96</v>
      </c>
      <c r="H51" s="17">
        <v>127.19</v>
      </c>
      <c r="I51" s="6">
        <v>-63661.0</v>
      </c>
      <c r="J51" s="6">
        <v>2838384.0</v>
      </c>
      <c r="K51" s="18">
        <f t="shared" si="7"/>
        <v>2902045</v>
      </c>
    </row>
    <row r="52">
      <c r="F52" s="21" t="str">
        <f>SUBSTITUTE(F37, " / 5", "")</f>
        <v>3.375</v>
      </c>
      <c r="G52" s="21" t="str">
        <f>SUBSTITUTE(SUBSTITUTE(G37, "$",""), " CAD", "")</f>
        <v>687.00</v>
      </c>
      <c r="H52" s="21" t="str">
        <f t="shared" ref="H52:J52" si="8">SUBSTITUTE(H37,"$", "")</f>
        <v>160.20</v>
      </c>
      <c r="I52" s="21" t="str">
        <f t="shared" si="8"/>
        <v>266,456</v>
      </c>
      <c r="J52" s="21" t="str">
        <f t="shared" si="8"/>
        <v>3,246,947</v>
      </c>
      <c r="K52" s="22">
        <f t="shared" si="7"/>
        <v>2980491</v>
      </c>
    </row>
    <row r="59">
      <c r="C59" s="1" t="s">
        <v>111</v>
      </c>
    </row>
  </sheetData>
  <autoFilter ref="$A$1:$O$16">
    <sortState ref="A1:O16">
      <sortCondition descending="1" ref="J1:J16"/>
      <sortCondition descending="1" ref="I1:I16"/>
      <sortCondition ref="O1:O16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112</v>
      </c>
      <c r="C1" s="1" t="s">
        <v>1</v>
      </c>
      <c r="D1" s="1" t="s">
        <v>113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35</v>
      </c>
      <c r="N1" s="1" t="s">
        <v>114</v>
      </c>
      <c r="O1" s="1" t="s">
        <v>11</v>
      </c>
      <c r="P1" s="1" t="s">
        <v>37</v>
      </c>
    </row>
    <row r="2">
      <c r="A2" s="22" t="s">
        <v>29</v>
      </c>
      <c r="B2" s="22" t="s">
        <v>115</v>
      </c>
      <c r="C2" s="22" t="s">
        <v>13</v>
      </c>
      <c r="D2" s="22" t="s">
        <v>38</v>
      </c>
      <c r="E2" s="22" t="s">
        <v>38</v>
      </c>
      <c r="F2" s="22" t="s">
        <v>14</v>
      </c>
      <c r="G2" s="22" t="s">
        <v>19</v>
      </c>
      <c r="H2" s="22" t="s">
        <v>116</v>
      </c>
      <c r="I2" s="22" t="s">
        <v>117</v>
      </c>
      <c r="J2" s="23">
        <v>156.38</v>
      </c>
      <c r="K2" s="24">
        <v>5516160.0</v>
      </c>
      <c r="L2" s="24">
        <v>112455.0</v>
      </c>
      <c r="M2" s="18">
        <v>5403705.0</v>
      </c>
      <c r="N2" s="22">
        <v>342.0</v>
      </c>
      <c r="O2" s="22">
        <v>10.0</v>
      </c>
      <c r="P2" s="22">
        <f t="shared" ref="P2:P23" si="1">M2/K2</f>
        <v>0.9796135355</v>
      </c>
    </row>
    <row r="3">
      <c r="A3" s="22" t="s">
        <v>23</v>
      </c>
      <c r="B3" s="22" t="s">
        <v>115</v>
      </c>
      <c r="C3" s="22" t="s">
        <v>13</v>
      </c>
      <c r="D3" s="22" t="s">
        <v>38</v>
      </c>
      <c r="E3" s="22" t="s">
        <v>38</v>
      </c>
      <c r="F3" s="22" t="s">
        <v>14</v>
      </c>
      <c r="G3" s="22" t="s">
        <v>15</v>
      </c>
      <c r="H3" s="22" t="s">
        <v>118</v>
      </c>
      <c r="I3" s="22" t="s">
        <v>119</v>
      </c>
      <c r="J3" s="23">
        <v>202.8</v>
      </c>
      <c r="K3" s="24">
        <v>5408106.0</v>
      </c>
      <c r="L3" s="24">
        <v>471352.0</v>
      </c>
      <c r="M3" s="18">
        <v>4936754.0</v>
      </c>
      <c r="N3" s="22">
        <v>313.0</v>
      </c>
      <c r="O3" s="22">
        <v>1.0</v>
      </c>
      <c r="P3" s="22">
        <f t="shared" si="1"/>
        <v>0.9128434243</v>
      </c>
    </row>
    <row r="4">
      <c r="A4" s="22" t="s">
        <v>26</v>
      </c>
      <c r="B4" s="22" t="s">
        <v>115</v>
      </c>
      <c r="C4" s="22" t="s">
        <v>13</v>
      </c>
      <c r="D4" s="22" t="s">
        <v>38</v>
      </c>
      <c r="E4" s="22" t="s">
        <v>38</v>
      </c>
      <c r="F4" s="22" t="s">
        <v>14</v>
      </c>
      <c r="G4" s="22" t="s">
        <v>15</v>
      </c>
      <c r="H4" s="22" t="s">
        <v>120</v>
      </c>
      <c r="I4" s="22" t="s">
        <v>121</v>
      </c>
      <c r="J4" s="23">
        <v>200.39</v>
      </c>
      <c r="K4" s="24">
        <v>5303376.0</v>
      </c>
      <c r="L4" s="24">
        <v>428587.0</v>
      </c>
      <c r="M4" s="18">
        <v>4874789.0</v>
      </c>
      <c r="N4" s="22">
        <v>437.0</v>
      </c>
      <c r="O4" s="22">
        <v>2.0</v>
      </c>
      <c r="P4" s="22">
        <f t="shared" si="1"/>
        <v>0.9191860053</v>
      </c>
    </row>
    <row r="5">
      <c r="A5" s="22" t="s">
        <v>26</v>
      </c>
      <c r="B5" s="22" t="s">
        <v>122</v>
      </c>
      <c r="C5" s="22" t="s">
        <v>13</v>
      </c>
      <c r="D5" s="22" t="s">
        <v>38</v>
      </c>
      <c r="E5" s="22" t="s">
        <v>38</v>
      </c>
      <c r="F5" s="22" t="s">
        <v>14</v>
      </c>
      <c r="G5" s="22" t="s">
        <v>19</v>
      </c>
      <c r="H5" s="22" t="s">
        <v>123</v>
      </c>
      <c r="I5" s="22" t="s">
        <v>124</v>
      </c>
      <c r="J5" s="23">
        <v>200.39</v>
      </c>
      <c r="K5" s="24">
        <v>5303376.0</v>
      </c>
      <c r="L5" s="24">
        <v>428587.0</v>
      </c>
      <c r="M5" s="18">
        <v>4874789.0</v>
      </c>
      <c r="N5" s="22">
        <v>437.0</v>
      </c>
      <c r="O5" s="22">
        <v>2.0</v>
      </c>
      <c r="P5" s="22">
        <f t="shared" si="1"/>
        <v>0.9191860053</v>
      </c>
    </row>
    <row r="6">
      <c r="A6" s="22" t="s">
        <v>30</v>
      </c>
      <c r="B6" s="22" t="s">
        <v>115</v>
      </c>
      <c r="C6" s="22" t="s">
        <v>13</v>
      </c>
      <c r="D6" s="22" t="s">
        <v>38</v>
      </c>
      <c r="E6" s="22" t="s">
        <v>38</v>
      </c>
      <c r="F6" s="22" t="s">
        <v>14</v>
      </c>
      <c r="G6" s="22" t="s">
        <v>15</v>
      </c>
      <c r="H6" s="22" t="s">
        <v>93</v>
      </c>
      <c r="I6" s="22" t="s">
        <v>125</v>
      </c>
      <c r="J6" s="23">
        <v>172.67</v>
      </c>
      <c r="K6" s="24">
        <v>5192841.0</v>
      </c>
      <c r="L6" s="24">
        <v>350252.0</v>
      </c>
      <c r="M6" s="18">
        <v>4842589.0</v>
      </c>
      <c r="N6" s="22">
        <v>318.0</v>
      </c>
      <c r="O6" s="22">
        <v>6.0</v>
      </c>
      <c r="P6" s="22">
        <f t="shared" si="1"/>
        <v>0.932550987</v>
      </c>
    </row>
    <row r="7">
      <c r="A7" s="22" t="s">
        <v>16</v>
      </c>
      <c r="B7" s="22" t="s">
        <v>115</v>
      </c>
      <c r="C7" s="22" t="s">
        <v>17</v>
      </c>
      <c r="D7" s="22" t="s">
        <v>38</v>
      </c>
      <c r="E7" s="22" t="s">
        <v>38</v>
      </c>
      <c r="F7" s="22" t="s">
        <v>14</v>
      </c>
      <c r="G7" s="22" t="s">
        <v>15</v>
      </c>
      <c r="H7" s="22" t="s">
        <v>126</v>
      </c>
      <c r="I7" s="22" t="s">
        <v>127</v>
      </c>
      <c r="J7" s="23">
        <v>162.23</v>
      </c>
      <c r="K7" s="24">
        <v>4896397.0</v>
      </c>
      <c r="L7" s="24">
        <v>212898.0</v>
      </c>
      <c r="M7" s="18">
        <v>4683499.0</v>
      </c>
      <c r="N7" s="22">
        <v>322.0</v>
      </c>
      <c r="O7" s="22">
        <v>8.0</v>
      </c>
      <c r="P7" s="22">
        <f t="shared" si="1"/>
        <v>0.9565194571</v>
      </c>
    </row>
    <row r="8">
      <c r="A8" s="22" t="s">
        <v>24</v>
      </c>
      <c r="B8" s="22" t="s">
        <v>115</v>
      </c>
      <c r="C8" s="22" t="s">
        <v>17</v>
      </c>
      <c r="D8" s="22" t="s">
        <v>38</v>
      </c>
      <c r="E8" s="22" t="s">
        <v>38</v>
      </c>
      <c r="F8" s="22" t="s">
        <v>18</v>
      </c>
      <c r="G8" s="22" t="s">
        <v>21</v>
      </c>
      <c r="H8" s="22" t="s">
        <v>128</v>
      </c>
      <c r="I8" s="22" t="s">
        <v>129</v>
      </c>
      <c r="J8" s="23">
        <v>170.67</v>
      </c>
      <c r="K8" s="24">
        <v>4838779.0</v>
      </c>
      <c r="L8" s="24">
        <v>224768.0</v>
      </c>
      <c r="M8" s="18">
        <v>4614011.0</v>
      </c>
      <c r="N8" s="22">
        <v>331.0</v>
      </c>
      <c r="O8" s="22">
        <v>7.0</v>
      </c>
      <c r="P8" s="22">
        <f t="shared" si="1"/>
        <v>0.9535486122</v>
      </c>
    </row>
    <row r="9">
      <c r="A9" s="22" t="s">
        <v>12</v>
      </c>
      <c r="B9" s="22" t="s">
        <v>130</v>
      </c>
      <c r="C9" s="22" t="s">
        <v>13</v>
      </c>
      <c r="D9" s="22" t="s">
        <v>38</v>
      </c>
      <c r="E9" s="22" t="s">
        <v>38</v>
      </c>
      <c r="F9" s="22" t="s">
        <v>14</v>
      </c>
      <c r="G9" s="22" t="s">
        <v>19</v>
      </c>
      <c r="H9" s="22" t="s">
        <v>131</v>
      </c>
      <c r="I9" s="22" t="s">
        <v>132</v>
      </c>
      <c r="J9" s="23">
        <v>174.82</v>
      </c>
      <c r="K9" s="24">
        <v>4793979.0</v>
      </c>
      <c r="L9" s="24">
        <v>185566.0</v>
      </c>
      <c r="M9" s="18">
        <v>4608413.0</v>
      </c>
      <c r="N9" s="22">
        <v>303.0</v>
      </c>
      <c r="O9" s="22">
        <v>5.0</v>
      </c>
      <c r="P9" s="22">
        <f t="shared" si="1"/>
        <v>0.9612918621</v>
      </c>
    </row>
    <row r="10">
      <c r="A10" s="22" t="s">
        <v>12</v>
      </c>
      <c r="B10" s="22" t="s">
        <v>115</v>
      </c>
      <c r="C10" s="22" t="s">
        <v>13</v>
      </c>
      <c r="D10" s="22" t="s">
        <v>38</v>
      </c>
      <c r="E10" s="22" t="s">
        <v>38</v>
      </c>
      <c r="F10" s="22" t="s">
        <v>14</v>
      </c>
      <c r="G10" s="22" t="s">
        <v>15</v>
      </c>
      <c r="H10" s="22" t="s">
        <v>133</v>
      </c>
      <c r="I10" s="22" t="s">
        <v>134</v>
      </c>
      <c r="J10" s="23">
        <v>174.82</v>
      </c>
      <c r="K10" s="24">
        <v>4793979.0</v>
      </c>
      <c r="L10" s="24">
        <v>185566.0</v>
      </c>
      <c r="M10" s="18">
        <v>4608413.0</v>
      </c>
      <c r="N10" s="22">
        <v>303.0</v>
      </c>
      <c r="O10" s="22">
        <v>5.0</v>
      </c>
      <c r="P10" s="22">
        <f t="shared" si="1"/>
        <v>0.9612918621</v>
      </c>
    </row>
    <row r="11">
      <c r="A11" s="22" t="s">
        <v>25</v>
      </c>
      <c r="B11" s="22" t="s">
        <v>115</v>
      </c>
      <c r="C11" s="22" t="s">
        <v>17</v>
      </c>
      <c r="D11" s="22" t="s">
        <v>38</v>
      </c>
      <c r="E11" s="22" t="s">
        <v>38</v>
      </c>
      <c r="F11" s="22" t="s">
        <v>18</v>
      </c>
      <c r="G11" s="22" t="s">
        <v>21</v>
      </c>
      <c r="H11" s="22" t="s">
        <v>135</v>
      </c>
      <c r="I11" s="22" t="s">
        <v>129</v>
      </c>
      <c r="J11" s="23">
        <v>161.16</v>
      </c>
      <c r="K11" s="24">
        <v>4666311.0</v>
      </c>
      <c r="L11" s="24">
        <v>261759.0</v>
      </c>
      <c r="M11" s="18">
        <v>4404552.0</v>
      </c>
      <c r="N11" s="22">
        <v>317.0</v>
      </c>
      <c r="O11" s="22">
        <v>9.0</v>
      </c>
      <c r="P11" s="22">
        <f t="shared" si="1"/>
        <v>0.9439045104</v>
      </c>
    </row>
    <row r="12">
      <c r="A12" s="22" t="s">
        <v>33</v>
      </c>
      <c r="B12" s="22" t="s">
        <v>130</v>
      </c>
      <c r="C12" s="22" t="s">
        <v>13</v>
      </c>
      <c r="D12" s="22" t="s">
        <v>38</v>
      </c>
      <c r="E12" s="22" t="s">
        <v>38</v>
      </c>
      <c r="F12" s="22" t="s">
        <v>136</v>
      </c>
      <c r="G12" s="22" t="s">
        <v>137</v>
      </c>
      <c r="H12" s="22" t="s">
        <v>138</v>
      </c>
      <c r="I12" s="22" t="s">
        <v>97</v>
      </c>
      <c r="J12" s="23">
        <v>180.52</v>
      </c>
      <c r="K12" s="24">
        <v>4441654.0</v>
      </c>
      <c r="L12" s="24">
        <v>203146.0</v>
      </c>
      <c r="M12" s="18">
        <v>4238508.0</v>
      </c>
      <c r="N12" s="22">
        <v>962.0</v>
      </c>
      <c r="O12" s="22">
        <v>4.0</v>
      </c>
      <c r="P12" s="22">
        <f t="shared" si="1"/>
        <v>0.9542634343</v>
      </c>
    </row>
    <row r="13">
      <c r="A13" s="22" t="s">
        <v>33</v>
      </c>
      <c r="B13" s="22" t="s">
        <v>115</v>
      </c>
      <c r="C13" s="22" t="s">
        <v>13</v>
      </c>
      <c r="D13" s="22" t="s">
        <v>38</v>
      </c>
      <c r="E13" s="22" t="s">
        <v>38</v>
      </c>
      <c r="F13" s="22" t="s">
        <v>136</v>
      </c>
      <c r="G13" s="22" t="s">
        <v>15</v>
      </c>
      <c r="H13" s="22" t="s">
        <v>138</v>
      </c>
      <c r="I13" s="22" t="s">
        <v>139</v>
      </c>
      <c r="J13" s="23">
        <v>180.52</v>
      </c>
      <c r="K13" s="24">
        <v>4441654.0</v>
      </c>
      <c r="L13" s="24">
        <v>203146.0</v>
      </c>
      <c r="M13" s="18">
        <v>4238508.0</v>
      </c>
      <c r="N13" s="22">
        <v>962.0</v>
      </c>
      <c r="O13" s="22">
        <v>4.0</v>
      </c>
      <c r="P13" s="22">
        <f t="shared" si="1"/>
        <v>0.9542634343</v>
      </c>
    </row>
    <row r="14">
      <c r="A14" s="22" t="s">
        <v>20</v>
      </c>
      <c r="B14" s="22" t="s">
        <v>115</v>
      </c>
      <c r="C14" s="22" t="s">
        <v>17</v>
      </c>
      <c r="D14" s="22" t="s">
        <v>38</v>
      </c>
      <c r="E14" s="22" t="s">
        <v>38</v>
      </c>
      <c r="F14" s="22" t="s">
        <v>14</v>
      </c>
      <c r="G14" s="22" t="s">
        <v>21</v>
      </c>
      <c r="H14" s="22" t="s">
        <v>108</v>
      </c>
      <c r="I14" s="22" t="s">
        <v>140</v>
      </c>
      <c r="J14" s="23">
        <v>190.4</v>
      </c>
      <c r="K14" s="24">
        <v>4411134.0</v>
      </c>
      <c r="L14" s="24">
        <v>346083.0</v>
      </c>
      <c r="M14" s="18">
        <v>4065051.0</v>
      </c>
      <c r="N14" s="22">
        <v>285.0</v>
      </c>
      <c r="O14" s="22">
        <v>3.0</v>
      </c>
      <c r="P14" s="22">
        <f t="shared" si="1"/>
        <v>0.9215433038</v>
      </c>
    </row>
    <row r="15">
      <c r="A15" s="22" t="s">
        <v>22</v>
      </c>
      <c r="B15" s="22" t="s">
        <v>130</v>
      </c>
      <c r="C15" s="22" t="s">
        <v>13</v>
      </c>
      <c r="D15" s="22" t="s">
        <v>69</v>
      </c>
      <c r="E15" s="22" t="s">
        <v>38</v>
      </c>
      <c r="F15" s="22" t="s">
        <v>18</v>
      </c>
      <c r="G15" s="22" t="s">
        <v>19</v>
      </c>
      <c r="H15" s="22" t="s">
        <v>100</v>
      </c>
      <c r="I15" s="22" t="s">
        <v>141</v>
      </c>
      <c r="J15" s="23">
        <v>117.24</v>
      </c>
      <c r="K15" s="24">
        <v>3406366.0</v>
      </c>
      <c r="L15" s="24">
        <v>-274664.0</v>
      </c>
      <c r="M15" s="18">
        <v>3681030.0</v>
      </c>
      <c r="N15" s="25">
        <v>4364.0</v>
      </c>
      <c r="O15" s="22">
        <v>15.0</v>
      </c>
      <c r="P15" s="22">
        <f t="shared" si="1"/>
        <v>1.080632557</v>
      </c>
    </row>
    <row r="16">
      <c r="A16" s="22" t="s">
        <v>22</v>
      </c>
      <c r="B16" s="22" t="s">
        <v>115</v>
      </c>
      <c r="C16" s="22" t="s">
        <v>13</v>
      </c>
      <c r="D16" s="22" t="s">
        <v>38</v>
      </c>
      <c r="E16" s="22" t="s">
        <v>38</v>
      </c>
      <c r="F16" s="22" t="s">
        <v>14</v>
      </c>
      <c r="G16" s="22" t="s">
        <v>19</v>
      </c>
      <c r="H16" s="22" t="s">
        <v>133</v>
      </c>
      <c r="I16" s="22" t="s">
        <v>142</v>
      </c>
      <c r="J16" s="23">
        <v>117.24</v>
      </c>
      <c r="K16" s="24">
        <v>3406366.0</v>
      </c>
      <c r="L16" s="24">
        <v>-274664.0</v>
      </c>
      <c r="M16" s="18">
        <v>3681030.0</v>
      </c>
      <c r="N16" s="25">
        <v>4364.0</v>
      </c>
      <c r="O16" s="22">
        <v>15.0</v>
      </c>
      <c r="P16" s="22">
        <f t="shared" si="1"/>
        <v>1.080632557</v>
      </c>
    </row>
    <row r="17">
      <c r="A17" s="22" t="s">
        <v>32</v>
      </c>
      <c r="B17" s="22" t="s">
        <v>115</v>
      </c>
      <c r="C17" s="22" t="s">
        <v>17</v>
      </c>
      <c r="D17" s="22" t="s">
        <v>38</v>
      </c>
      <c r="E17" s="22" t="s">
        <v>38</v>
      </c>
      <c r="F17" s="22" t="s">
        <v>14</v>
      </c>
      <c r="G17" s="22" t="s">
        <v>15</v>
      </c>
      <c r="H17" s="22" t="s">
        <v>110</v>
      </c>
      <c r="I17" s="22" t="s">
        <v>129</v>
      </c>
      <c r="J17" s="23">
        <v>125.57</v>
      </c>
      <c r="K17" s="24">
        <v>3291208.0</v>
      </c>
      <c r="L17" s="24">
        <v>-16207.0</v>
      </c>
      <c r="M17" s="18">
        <v>3307415.0</v>
      </c>
      <c r="N17" s="22">
        <v>218.0</v>
      </c>
      <c r="O17" s="22">
        <v>13.0</v>
      </c>
      <c r="P17" s="22">
        <f t="shared" si="1"/>
        <v>1.004924332</v>
      </c>
    </row>
    <row r="18">
      <c r="A18" s="22" t="s">
        <v>32</v>
      </c>
      <c r="B18" s="22" t="s">
        <v>115</v>
      </c>
      <c r="C18" s="22" t="s">
        <v>13</v>
      </c>
      <c r="D18" s="22" t="s">
        <v>38</v>
      </c>
      <c r="E18" s="22" t="s">
        <v>38</v>
      </c>
      <c r="F18" s="22" t="s">
        <v>14</v>
      </c>
      <c r="G18" s="22" t="s">
        <v>15</v>
      </c>
      <c r="H18" s="22" t="s">
        <v>143</v>
      </c>
      <c r="I18" s="22" t="s">
        <v>117</v>
      </c>
      <c r="J18" s="23">
        <v>125.57</v>
      </c>
      <c r="K18" s="24">
        <v>3291208.0</v>
      </c>
      <c r="L18" s="24">
        <v>-16207.0</v>
      </c>
      <c r="M18" s="18">
        <v>3307415.0</v>
      </c>
      <c r="N18" s="22">
        <v>218.0</v>
      </c>
      <c r="O18" s="22">
        <v>13.0</v>
      </c>
      <c r="P18" s="22">
        <f t="shared" si="1"/>
        <v>1.004924332</v>
      </c>
    </row>
    <row r="19">
      <c r="A19" s="22" t="s">
        <v>27</v>
      </c>
      <c r="B19" s="22" t="s">
        <v>115</v>
      </c>
      <c r="C19" s="22" t="s">
        <v>13</v>
      </c>
      <c r="D19" s="22" t="s">
        <v>38</v>
      </c>
      <c r="E19" s="22" t="s">
        <v>38</v>
      </c>
      <c r="F19" s="22" t="s">
        <v>14</v>
      </c>
      <c r="G19" s="22" t="s">
        <v>19</v>
      </c>
      <c r="H19" s="22" t="s">
        <v>144</v>
      </c>
      <c r="I19" s="22" t="s">
        <v>145</v>
      </c>
      <c r="J19" s="23">
        <v>147.75</v>
      </c>
      <c r="K19" s="24">
        <v>3270856.0</v>
      </c>
      <c r="L19" s="24">
        <v>-42198.0</v>
      </c>
      <c r="M19" s="18">
        <v>3313054.0</v>
      </c>
      <c r="N19" s="25">
        <v>3000.0</v>
      </c>
      <c r="O19" s="22">
        <v>11.0</v>
      </c>
      <c r="P19" s="22">
        <f t="shared" si="1"/>
        <v>1.01290121</v>
      </c>
    </row>
    <row r="20">
      <c r="A20" s="22" t="s">
        <v>28</v>
      </c>
      <c r="B20" s="22" t="s">
        <v>130</v>
      </c>
      <c r="C20" s="22" t="s">
        <v>13</v>
      </c>
      <c r="D20" s="22" t="s">
        <v>38</v>
      </c>
      <c r="E20" s="22" t="s">
        <v>69</v>
      </c>
      <c r="F20" s="22" t="s">
        <v>14</v>
      </c>
      <c r="G20" s="22" t="s">
        <v>19</v>
      </c>
      <c r="H20" s="22" t="s">
        <v>98</v>
      </c>
      <c r="I20" s="22" t="s">
        <v>146</v>
      </c>
      <c r="J20" s="23">
        <v>136.23</v>
      </c>
      <c r="K20" s="24">
        <v>3255666.0</v>
      </c>
      <c r="L20" s="24">
        <v>-54503.0</v>
      </c>
      <c r="M20" s="18">
        <v>3310169.0</v>
      </c>
      <c r="N20" s="25">
        <v>2727.0</v>
      </c>
      <c r="O20" s="22">
        <v>12.0</v>
      </c>
      <c r="P20" s="22">
        <f t="shared" si="1"/>
        <v>1.016740968</v>
      </c>
    </row>
    <row r="21">
      <c r="A21" s="22" t="s">
        <v>28</v>
      </c>
      <c r="B21" s="22" t="s">
        <v>115</v>
      </c>
      <c r="C21" s="22" t="s">
        <v>13</v>
      </c>
      <c r="D21" s="22" t="s">
        <v>38</v>
      </c>
      <c r="E21" s="22" t="s">
        <v>38</v>
      </c>
      <c r="F21" s="22" t="s">
        <v>14</v>
      </c>
      <c r="G21" s="22" t="s">
        <v>19</v>
      </c>
      <c r="H21" s="22" t="s">
        <v>147</v>
      </c>
      <c r="I21" s="22" t="s">
        <v>84</v>
      </c>
      <c r="J21" s="23">
        <v>136.23</v>
      </c>
      <c r="K21" s="24">
        <v>3255666.0</v>
      </c>
      <c r="L21" s="24">
        <v>-54503.0</v>
      </c>
      <c r="M21" s="18">
        <v>3310169.0</v>
      </c>
      <c r="N21" s="25">
        <v>2727.0</v>
      </c>
      <c r="O21" s="22">
        <v>12.0</v>
      </c>
      <c r="P21" s="22">
        <f t="shared" si="1"/>
        <v>1.016740968</v>
      </c>
    </row>
    <row r="22">
      <c r="A22" s="22" t="s">
        <v>31</v>
      </c>
      <c r="B22" s="22" t="s">
        <v>130</v>
      </c>
      <c r="C22" s="22" t="s">
        <v>13</v>
      </c>
      <c r="D22" s="22" t="s">
        <v>38</v>
      </c>
      <c r="E22" s="22" t="s">
        <v>38</v>
      </c>
      <c r="F22" s="22" t="s">
        <v>14</v>
      </c>
      <c r="G22" s="22" t="s">
        <v>15</v>
      </c>
      <c r="H22" s="22" t="s">
        <v>120</v>
      </c>
      <c r="I22" s="22" t="s">
        <v>148</v>
      </c>
      <c r="J22" s="23">
        <v>121.26</v>
      </c>
      <c r="K22" s="24">
        <v>2789739.0</v>
      </c>
      <c r="L22" s="24">
        <v>-251404.0</v>
      </c>
      <c r="M22" s="18">
        <v>3041143.0</v>
      </c>
      <c r="N22" s="25">
        <v>3818.0</v>
      </c>
      <c r="O22" s="22">
        <v>14.0</v>
      </c>
      <c r="P22" s="22">
        <f t="shared" si="1"/>
        <v>1.090117391</v>
      </c>
    </row>
    <row r="23">
      <c r="A23" s="22" t="s">
        <v>31</v>
      </c>
      <c r="B23" s="22" t="s">
        <v>115</v>
      </c>
      <c r="C23" s="22" t="s">
        <v>13</v>
      </c>
      <c r="D23" s="22" t="s">
        <v>38</v>
      </c>
      <c r="E23" s="22" t="s">
        <v>38</v>
      </c>
      <c r="F23" s="22" t="s">
        <v>14</v>
      </c>
      <c r="G23" s="22" t="s">
        <v>15</v>
      </c>
      <c r="H23" s="22" t="s">
        <v>149</v>
      </c>
      <c r="I23" s="22" t="s">
        <v>150</v>
      </c>
      <c r="J23" s="23">
        <v>121.26</v>
      </c>
      <c r="K23" s="24">
        <v>2789739.0</v>
      </c>
      <c r="L23" s="24">
        <v>-251404.0</v>
      </c>
      <c r="M23" s="18">
        <v>3041143.0</v>
      </c>
      <c r="N23" s="25">
        <v>3818.0</v>
      </c>
      <c r="O23" s="22">
        <v>14.0</v>
      </c>
      <c r="P23" s="22">
        <f t="shared" si="1"/>
        <v>1.090117391</v>
      </c>
    </row>
    <row r="30">
      <c r="D30" s="22" t="s">
        <v>23</v>
      </c>
      <c r="E30" s="22">
        <v>313.0</v>
      </c>
      <c r="F30" s="22">
        <f t="shared" ref="F30:F41" si="2">E30 - 200</f>
        <v>113</v>
      </c>
    </row>
    <row r="31">
      <c r="D31" s="22" t="s">
        <v>26</v>
      </c>
      <c r="E31" s="22">
        <v>437.0</v>
      </c>
      <c r="F31" s="22">
        <f t="shared" si="2"/>
        <v>237</v>
      </c>
    </row>
    <row r="32">
      <c r="D32" s="22" t="s">
        <v>20</v>
      </c>
      <c r="E32" s="22">
        <v>285.0</v>
      </c>
      <c r="F32" s="22">
        <f t="shared" si="2"/>
        <v>85</v>
      </c>
    </row>
    <row r="33">
      <c r="D33" s="22" t="s">
        <v>33</v>
      </c>
      <c r="E33" s="22">
        <v>962.0</v>
      </c>
      <c r="F33" s="22">
        <f t="shared" si="2"/>
        <v>762</v>
      </c>
    </row>
    <row r="34">
      <c r="D34" s="22" t="s">
        <v>12</v>
      </c>
      <c r="E34" s="22">
        <v>303.0</v>
      </c>
      <c r="F34" s="22">
        <f t="shared" si="2"/>
        <v>103</v>
      </c>
    </row>
    <row r="35">
      <c r="D35" s="22" t="s">
        <v>30</v>
      </c>
      <c r="E35" s="22">
        <v>318.0</v>
      </c>
      <c r="F35" s="22">
        <f t="shared" si="2"/>
        <v>118</v>
      </c>
    </row>
    <row r="36">
      <c r="D36" s="22" t="s">
        <v>24</v>
      </c>
      <c r="E36" s="22">
        <v>331.0</v>
      </c>
      <c r="F36" s="22">
        <f t="shared" si="2"/>
        <v>131</v>
      </c>
    </row>
    <row r="37">
      <c r="D37" s="22" t="s">
        <v>16</v>
      </c>
      <c r="E37" s="22">
        <v>322.0</v>
      </c>
      <c r="F37" s="22">
        <f t="shared" si="2"/>
        <v>122</v>
      </c>
    </row>
    <row r="38">
      <c r="D38" s="22" t="s">
        <v>25</v>
      </c>
      <c r="E38" s="22">
        <v>317.0</v>
      </c>
      <c r="F38" s="22">
        <f t="shared" si="2"/>
        <v>117</v>
      </c>
    </row>
    <row r="39">
      <c r="D39" s="22" t="s">
        <v>29</v>
      </c>
      <c r="E39" s="22">
        <v>342.0</v>
      </c>
      <c r="F39" s="22">
        <f t="shared" si="2"/>
        <v>142</v>
      </c>
    </row>
    <row r="40">
      <c r="D40" s="22" t="s">
        <v>32</v>
      </c>
      <c r="E40" s="22">
        <v>218.0</v>
      </c>
      <c r="F40" s="22">
        <f t="shared" si="2"/>
        <v>18</v>
      </c>
    </row>
    <row r="41">
      <c r="D41" s="22" t="s">
        <v>32</v>
      </c>
      <c r="E41" s="22">
        <v>218.0</v>
      </c>
      <c r="F41" s="22">
        <f t="shared" si="2"/>
        <v>18</v>
      </c>
    </row>
  </sheetData>
  <autoFilter ref="$A$1:$P$23">
    <sortState ref="A1:P23">
      <sortCondition descending="1" ref="K1:K23"/>
      <sortCondition ref="P1:P23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112</v>
      </c>
      <c r="C1" s="1" t="s">
        <v>1</v>
      </c>
      <c r="D1" s="1" t="s">
        <v>113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151</v>
      </c>
      <c r="J1" s="1" t="s">
        <v>5</v>
      </c>
      <c r="K1" s="1" t="s">
        <v>7</v>
      </c>
      <c r="L1" s="1" t="s">
        <v>8</v>
      </c>
      <c r="M1" s="1" t="s">
        <v>35</v>
      </c>
      <c r="N1" s="1" t="s">
        <v>6</v>
      </c>
      <c r="O1" s="1" t="s">
        <v>114</v>
      </c>
      <c r="P1" s="1" t="s">
        <v>11</v>
      </c>
      <c r="Q1" s="1" t="s">
        <v>37</v>
      </c>
    </row>
    <row r="2">
      <c r="A2" s="22" t="s">
        <v>29</v>
      </c>
      <c r="B2" s="22" t="s">
        <v>152</v>
      </c>
      <c r="C2" s="22" t="s">
        <v>13</v>
      </c>
      <c r="D2" s="22" t="s">
        <v>38</v>
      </c>
      <c r="E2" s="22" t="s">
        <v>38</v>
      </c>
      <c r="F2" s="22" t="s">
        <v>14</v>
      </c>
      <c r="G2" s="22" t="s">
        <v>19</v>
      </c>
      <c r="H2" s="22" t="s">
        <v>39</v>
      </c>
      <c r="I2" s="22">
        <v>45.0</v>
      </c>
      <c r="J2" s="22" t="s">
        <v>153</v>
      </c>
      <c r="K2" s="18">
        <v>8032011.0</v>
      </c>
      <c r="L2" s="18">
        <v>924890.0</v>
      </c>
      <c r="M2" s="18">
        <v>7107121.0</v>
      </c>
      <c r="N2" s="23">
        <v>248.87</v>
      </c>
      <c r="O2" s="22">
        <v>663.0</v>
      </c>
      <c r="P2" s="22">
        <v>2.0</v>
      </c>
      <c r="Q2" s="22">
        <f t="shared" ref="Q2:Q29" si="1">M2/K2</f>
        <v>0.8848495103</v>
      </c>
    </row>
    <row r="3">
      <c r="A3" s="22" t="s">
        <v>29</v>
      </c>
      <c r="B3" s="22" t="s">
        <v>115</v>
      </c>
      <c r="C3" s="22" t="s">
        <v>13</v>
      </c>
      <c r="D3" s="22" t="s">
        <v>38</v>
      </c>
      <c r="E3" s="22" t="s">
        <v>38</v>
      </c>
      <c r="F3" s="22" t="s">
        <v>14</v>
      </c>
      <c r="G3" s="22" t="s">
        <v>19</v>
      </c>
      <c r="H3" s="22" t="s">
        <v>154</v>
      </c>
      <c r="I3" s="22">
        <v>45.0</v>
      </c>
      <c r="J3" s="22" t="s">
        <v>117</v>
      </c>
      <c r="K3" s="18">
        <v>8032011.0</v>
      </c>
      <c r="L3" s="18">
        <v>924890.0</v>
      </c>
      <c r="M3" s="18">
        <v>7107121.0</v>
      </c>
      <c r="N3" s="23">
        <v>248.87</v>
      </c>
      <c r="O3" s="22">
        <v>663.0</v>
      </c>
      <c r="P3" s="22">
        <v>2.0</v>
      </c>
      <c r="Q3" s="22">
        <f t="shared" si="1"/>
        <v>0.8848495103</v>
      </c>
    </row>
    <row r="4">
      <c r="A4" s="22" t="s">
        <v>22</v>
      </c>
      <c r="B4" s="22" t="s">
        <v>130</v>
      </c>
      <c r="C4" s="22" t="s">
        <v>13</v>
      </c>
      <c r="D4" s="22" t="s">
        <v>69</v>
      </c>
      <c r="E4" s="22" t="s">
        <v>38</v>
      </c>
      <c r="F4" s="22" t="s">
        <v>14</v>
      </c>
      <c r="G4" s="22" t="s">
        <v>15</v>
      </c>
      <c r="H4" s="22" t="s">
        <v>63</v>
      </c>
      <c r="I4" s="22">
        <v>43.0</v>
      </c>
      <c r="J4" s="22" t="s">
        <v>155</v>
      </c>
      <c r="K4" s="18">
        <v>7040109.0</v>
      </c>
      <c r="L4" s="18">
        <v>556797.0</v>
      </c>
      <c r="M4" s="18">
        <v>6483312.0</v>
      </c>
      <c r="N4" s="23">
        <v>172.92</v>
      </c>
      <c r="O4" s="22">
        <v>342.0</v>
      </c>
      <c r="P4" s="22">
        <v>10.0</v>
      </c>
      <c r="Q4" s="22">
        <f t="shared" si="1"/>
        <v>0.9209107416</v>
      </c>
    </row>
    <row r="5">
      <c r="A5" s="22" t="s">
        <v>22</v>
      </c>
      <c r="B5" s="22" t="s">
        <v>115</v>
      </c>
      <c r="C5" s="22" t="s">
        <v>13</v>
      </c>
      <c r="D5" s="22" t="s">
        <v>38</v>
      </c>
      <c r="E5" s="22" t="s">
        <v>38</v>
      </c>
      <c r="F5" s="22" t="s">
        <v>14</v>
      </c>
      <c r="G5" s="22" t="s">
        <v>15</v>
      </c>
      <c r="H5" s="22" t="s">
        <v>63</v>
      </c>
      <c r="I5" s="22">
        <v>43.0</v>
      </c>
      <c r="J5" s="22" t="s">
        <v>142</v>
      </c>
      <c r="K5" s="18">
        <v>7040109.0</v>
      </c>
      <c r="L5" s="18">
        <v>556797.0</v>
      </c>
      <c r="M5" s="18">
        <v>6483312.0</v>
      </c>
      <c r="N5" s="23">
        <v>172.92</v>
      </c>
      <c r="O5" s="22">
        <v>342.0</v>
      </c>
      <c r="P5" s="22">
        <v>10.0</v>
      </c>
      <c r="Q5" s="22">
        <f t="shared" si="1"/>
        <v>0.9209107416</v>
      </c>
    </row>
    <row r="6">
      <c r="A6" s="22" t="s">
        <v>25</v>
      </c>
      <c r="B6" s="22" t="s">
        <v>115</v>
      </c>
      <c r="C6" s="22" t="s">
        <v>17</v>
      </c>
      <c r="D6" s="22" t="s">
        <v>38</v>
      </c>
      <c r="E6" s="22" t="s">
        <v>38</v>
      </c>
      <c r="F6" s="22" t="s">
        <v>18</v>
      </c>
      <c r="G6" s="22" t="s">
        <v>21</v>
      </c>
      <c r="H6" s="22" t="s">
        <v>156</v>
      </c>
      <c r="I6" s="22">
        <v>48.0</v>
      </c>
      <c r="J6" s="22" t="s">
        <v>157</v>
      </c>
      <c r="K6" s="18">
        <v>6657160.0</v>
      </c>
      <c r="L6" s="18">
        <v>-100197.0</v>
      </c>
      <c r="M6" s="18">
        <v>6757357.0</v>
      </c>
      <c r="N6" s="23">
        <v>151.14</v>
      </c>
      <c r="O6" s="22">
        <v>618.0</v>
      </c>
      <c r="P6" s="22">
        <v>12.0</v>
      </c>
      <c r="Q6" s="22">
        <f t="shared" si="1"/>
        <v>1.015051013</v>
      </c>
    </row>
    <row r="7">
      <c r="A7" s="22" t="s">
        <v>25</v>
      </c>
      <c r="B7" s="22" t="s">
        <v>152</v>
      </c>
      <c r="C7" s="22" t="s">
        <v>17</v>
      </c>
      <c r="D7" s="22" t="s">
        <v>38</v>
      </c>
      <c r="E7" s="22" t="s">
        <v>69</v>
      </c>
      <c r="F7" s="22" t="s">
        <v>18</v>
      </c>
      <c r="G7" s="22" t="s">
        <v>21</v>
      </c>
      <c r="H7" s="22" t="s">
        <v>78</v>
      </c>
      <c r="I7" s="22">
        <v>48.0</v>
      </c>
      <c r="J7" s="22" t="s">
        <v>86</v>
      </c>
      <c r="K7" s="18">
        <v>6657160.0</v>
      </c>
      <c r="L7" s="18">
        <v>-100197.0</v>
      </c>
      <c r="M7" s="18">
        <v>6757357.0</v>
      </c>
      <c r="N7" s="23">
        <v>151.14</v>
      </c>
      <c r="O7" s="22">
        <v>618.0</v>
      </c>
      <c r="P7" s="22">
        <v>12.0</v>
      </c>
      <c r="Q7" s="22">
        <f t="shared" si="1"/>
        <v>1.015051013</v>
      </c>
    </row>
    <row r="8">
      <c r="A8" s="22" t="s">
        <v>31</v>
      </c>
      <c r="B8" s="22" t="s">
        <v>115</v>
      </c>
      <c r="C8" s="22" t="s">
        <v>13</v>
      </c>
      <c r="D8" s="22" t="s">
        <v>38</v>
      </c>
      <c r="E8" s="22" t="s">
        <v>38</v>
      </c>
      <c r="F8" s="22" t="s">
        <v>136</v>
      </c>
      <c r="G8" s="22" t="s">
        <v>158</v>
      </c>
      <c r="H8" s="22" t="s">
        <v>159</v>
      </c>
      <c r="I8" s="22">
        <v>52.0</v>
      </c>
      <c r="J8" s="22" t="s">
        <v>134</v>
      </c>
      <c r="K8" s="18">
        <v>6495227.0</v>
      </c>
      <c r="L8" s="18">
        <v>381161.0</v>
      </c>
      <c r="M8" s="18">
        <v>6114066.0</v>
      </c>
      <c r="N8" s="23">
        <v>159.37</v>
      </c>
      <c r="O8" s="25">
        <v>2448.0</v>
      </c>
      <c r="P8" s="22">
        <v>11.0</v>
      </c>
      <c r="Q8" s="22">
        <f t="shared" si="1"/>
        <v>0.9413167546</v>
      </c>
    </row>
    <row r="9">
      <c r="A9" s="22" t="s">
        <v>31</v>
      </c>
      <c r="B9" s="22" t="s">
        <v>130</v>
      </c>
      <c r="C9" s="22" t="s">
        <v>13</v>
      </c>
      <c r="D9" s="22" t="s">
        <v>38</v>
      </c>
      <c r="E9" s="22" t="s">
        <v>38</v>
      </c>
      <c r="F9" s="22" t="s">
        <v>136</v>
      </c>
      <c r="G9" s="22" t="s">
        <v>158</v>
      </c>
      <c r="H9" s="22" t="s">
        <v>160</v>
      </c>
      <c r="I9" s="22">
        <v>52.0</v>
      </c>
      <c r="J9" s="22" t="s">
        <v>161</v>
      </c>
      <c r="K9" s="18">
        <v>6495227.0</v>
      </c>
      <c r="L9" s="18">
        <v>381161.0</v>
      </c>
      <c r="M9" s="18">
        <v>6114066.0</v>
      </c>
      <c r="N9" s="23">
        <v>159.37</v>
      </c>
      <c r="O9" s="25">
        <v>2448.0</v>
      </c>
      <c r="P9" s="22">
        <v>11.0</v>
      </c>
      <c r="Q9" s="22">
        <f t="shared" si="1"/>
        <v>0.9413167546</v>
      </c>
    </row>
    <row r="10">
      <c r="A10" s="22" t="s">
        <v>20</v>
      </c>
      <c r="B10" s="22" t="s">
        <v>130</v>
      </c>
      <c r="C10" s="22" t="s">
        <v>13</v>
      </c>
      <c r="D10" s="22" t="s">
        <v>38</v>
      </c>
      <c r="E10" s="22" t="s">
        <v>69</v>
      </c>
      <c r="F10" s="22" t="s">
        <v>136</v>
      </c>
      <c r="G10" s="22" t="s">
        <v>19</v>
      </c>
      <c r="H10" s="22" t="s">
        <v>54</v>
      </c>
      <c r="I10" s="22">
        <v>42.0</v>
      </c>
      <c r="J10" s="22" t="s">
        <v>162</v>
      </c>
      <c r="K10" s="18">
        <v>6362761.0</v>
      </c>
      <c r="L10" s="18">
        <v>453153.0</v>
      </c>
      <c r="M10" s="18">
        <v>5909608.0</v>
      </c>
      <c r="N10" s="23">
        <v>235.71</v>
      </c>
      <c r="O10" s="22">
        <v>751.0</v>
      </c>
      <c r="P10" s="22">
        <v>3.0</v>
      </c>
      <c r="Q10" s="22">
        <f t="shared" si="1"/>
        <v>0.9287804461</v>
      </c>
    </row>
    <row r="11">
      <c r="A11" s="22" t="s">
        <v>20</v>
      </c>
      <c r="B11" s="22" t="s">
        <v>115</v>
      </c>
      <c r="C11" s="22" t="s">
        <v>17</v>
      </c>
      <c r="D11" s="22" t="s">
        <v>38</v>
      </c>
      <c r="E11" s="22" t="s">
        <v>38</v>
      </c>
      <c r="F11" s="22" t="s">
        <v>14</v>
      </c>
      <c r="G11" s="22" t="s">
        <v>21</v>
      </c>
      <c r="H11" s="22" t="s">
        <v>156</v>
      </c>
      <c r="I11" s="22">
        <v>42.0</v>
      </c>
      <c r="J11" s="22" t="s">
        <v>101</v>
      </c>
      <c r="K11" s="18">
        <v>6362761.0</v>
      </c>
      <c r="L11" s="18">
        <v>453153.0</v>
      </c>
      <c r="M11" s="18">
        <v>5909608.0</v>
      </c>
      <c r="N11" s="23">
        <v>235.71</v>
      </c>
      <c r="O11" s="22">
        <v>751.0</v>
      </c>
      <c r="P11" s="22">
        <v>3.0</v>
      </c>
      <c r="Q11" s="22">
        <f t="shared" si="1"/>
        <v>0.9287804461</v>
      </c>
    </row>
    <row r="12">
      <c r="A12" s="22" t="s">
        <v>26</v>
      </c>
      <c r="B12" s="22" t="s">
        <v>122</v>
      </c>
      <c r="C12" s="22" t="s">
        <v>13</v>
      </c>
      <c r="D12" s="22" t="s">
        <v>38</v>
      </c>
      <c r="E12" s="22" t="s">
        <v>38</v>
      </c>
      <c r="F12" s="22" t="s">
        <v>136</v>
      </c>
      <c r="G12" s="22" t="s">
        <v>15</v>
      </c>
      <c r="H12" s="22" t="s">
        <v>163</v>
      </c>
      <c r="I12" s="22">
        <v>50.0</v>
      </c>
      <c r="J12" s="22" t="s">
        <v>164</v>
      </c>
      <c r="K12" s="18">
        <v>6318255.0</v>
      </c>
      <c r="L12" s="18">
        <v>635776.0</v>
      </c>
      <c r="M12" s="18">
        <v>5682479.0</v>
      </c>
      <c r="N12" s="23">
        <v>263.97</v>
      </c>
      <c r="O12" s="22">
        <v>824.0</v>
      </c>
      <c r="P12" s="22">
        <v>1.0</v>
      </c>
      <c r="Q12" s="22">
        <f t="shared" si="1"/>
        <v>0.8993747482</v>
      </c>
    </row>
    <row r="13">
      <c r="A13" s="22" t="s">
        <v>26</v>
      </c>
      <c r="B13" s="22" t="s">
        <v>115</v>
      </c>
      <c r="C13" s="22" t="s">
        <v>13</v>
      </c>
      <c r="D13" s="22" t="s">
        <v>38</v>
      </c>
      <c r="E13" s="22" t="s">
        <v>38</v>
      </c>
      <c r="F13" s="22" t="s">
        <v>14</v>
      </c>
      <c r="G13" s="22" t="s">
        <v>15</v>
      </c>
      <c r="H13" s="22" t="s">
        <v>165</v>
      </c>
      <c r="I13" s="22">
        <v>50.0</v>
      </c>
      <c r="J13" s="22" t="s">
        <v>166</v>
      </c>
      <c r="K13" s="18">
        <v>6318255.0</v>
      </c>
      <c r="L13" s="18">
        <v>635776.0</v>
      </c>
      <c r="M13" s="18">
        <v>5682479.0</v>
      </c>
      <c r="N13" s="23">
        <v>263.97</v>
      </c>
      <c r="O13" s="22">
        <v>824.0</v>
      </c>
      <c r="P13" s="22">
        <v>1.0</v>
      </c>
      <c r="Q13" s="22">
        <f t="shared" si="1"/>
        <v>0.8993747482</v>
      </c>
    </row>
    <row r="14">
      <c r="A14" s="22" t="s">
        <v>27</v>
      </c>
      <c r="B14" s="22" t="s">
        <v>115</v>
      </c>
      <c r="C14" s="22" t="s">
        <v>13</v>
      </c>
      <c r="D14" s="22" t="s">
        <v>38</v>
      </c>
      <c r="E14" s="22" t="s">
        <v>38</v>
      </c>
      <c r="F14" s="22" t="s">
        <v>14</v>
      </c>
      <c r="G14" s="22" t="s">
        <v>15</v>
      </c>
      <c r="H14" s="22" t="s">
        <v>66</v>
      </c>
      <c r="I14" s="22">
        <v>39.0</v>
      </c>
      <c r="J14" s="22" t="s">
        <v>167</v>
      </c>
      <c r="K14" s="18">
        <v>6290009.0</v>
      </c>
      <c r="L14" s="18">
        <v>631938.0</v>
      </c>
      <c r="M14" s="18">
        <v>5658071.0</v>
      </c>
      <c r="N14" s="23">
        <v>210.95</v>
      </c>
      <c r="O14" s="22">
        <v>289.0</v>
      </c>
      <c r="P14" s="22">
        <v>6.0</v>
      </c>
      <c r="Q14" s="22">
        <f t="shared" si="1"/>
        <v>0.8995330531</v>
      </c>
    </row>
    <row r="15">
      <c r="A15" s="22" t="s">
        <v>33</v>
      </c>
      <c r="B15" s="22" t="s">
        <v>115</v>
      </c>
      <c r="C15" s="22" t="s">
        <v>13</v>
      </c>
      <c r="D15" s="22" t="s">
        <v>38</v>
      </c>
      <c r="E15" s="22" t="s">
        <v>38</v>
      </c>
      <c r="F15" s="22" t="s">
        <v>136</v>
      </c>
      <c r="G15" s="22" t="s">
        <v>15</v>
      </c>
      <c r="H15" s="22" t="s">
        <v>168</v>
      </c>
      <c r="I15" s="22">
        <v>40.0</v>
      </c>
      <c r="J15" s="22" t="s">
        <v>139</v>
      </c>
      <c r="K15" s="18">
        <v>5524410.0</v>
      </c>
      <c r="L15" s="18">
        <v>550987.0</v>
      </c>
      <c r="M15" s="18">
        <v>4973423.0</v>
      </c>
      <c r="N15" s="23">
        <v>235.62</v>
      </c>
      <c r="O15" s="25">
        <v>2273.0</v>
      </c>
      <c r="P15" s="22">
        <v>4.0</v>
      </c>
      <c r="Q15" s="22">
        <f t="shared" si="1"/>
        <v>0.9002631955</v>
      </c>
    </row>
    <row r="16">
      <c r="A16" s="22" t="s">
        <v>33</v>
      </c>
      <c r="B16" s="22" t="s">
        <v>130</v>
      </c>
      <c r="C16" s="22" t="s">
        <v>13</v>
      </c>
      <c r="D16" s="22" t="s">
        <v>38</v>
      </c>
      <c r="E16" s="22" t="s">
        <v>38</v>
      </c>
      <c r="F16" s="22" t="s">
        <v>136</v>
      </c>
      <c r="G16" s="22" t="s">
        <v>137</v>
      </c>
      <c r="H16" s="22" t="s">
        <v>169</v>
      </c>
      <c r="I16" s="22">
        <v>40.0</v>
      </c>
      <c r="J16" s="22" t="s">
        <v>97</v>
      </c>
      <c r="K16" s="18">
        <v>5524410.0</v>
      </c>
      <c r="L16" s="18">
        <v>550987.0</v>
      </c>
      <c r="M16" s="18">
        <v>4973423.0</v>
      </c>
      <c r="N16" s="23">
        <v>235.62</v>
      </c>
      <c r="O16" s="25">
        <v>2273.0</v>
      </c>
      <c r="P16" s="22">
        <v>4.0</v>
      </c>
      <c r="Q16" s="22">
        <f t="shared" si="1"/>
        <v>0.9002631955</v>
      </c>
    </row>
    <row r="17">
      <c r="A17" s="22" t="s">
        <v>12</v>
      </c>
      <c r="B17" s="22" t="s">
        <v>115</v>
      </c>
      <c r="C17" s="22" t="s">
        <v>13</v>
      </c>
      <c r="D17" s="22" t="s">
        <v>38</v>
      </c>
      <c r="E17" s="22" t="s">
        <v>38</v>
      </c>
      <c r="F17" s="22" t="s">
        <v>14</v>
      </c>
      <c r="G17" s="22" t="s">
        <v>15</v>
      </c>
      <c r="H17" s="22" t="s">
        <v>170</v>
      </c>
      <c r="I17" s="22">
        <v>50.0</v>
      </c>
      <c r="J17" s="22" t="s">
        <v>171</v>
      </c>
      <c r="K17" s="18">
        <v>5512945.0</v>
      </c>
      <c r="L17" s="18">
        <v>305771.0</v>
      </c>
      <c r="M17" s="18">
        <v>5207174.0</v>
      </c>
      <c r="N17" s="23">
        <v>205.4</v>
      </c>
      <c r="O17" s="25">
        <v>3243.0</v>
      </c>
      <c r="P17" s="22">
        <v>7.0</v>
      </c>
      <c r="Q17" s="22">
        <f t="shared" si="1"/>
        <v>0.9445358152</v>
      </c>
    </row>
    <row r="18">
      <c r="A18" s="22" t="s">
        <v>12</v>
      </c>
      <c r="B18" s="22" t="s">
        <v>130</v>
      </c>
      <c r="C18" s="22" t="s">
        <v>13</v>
      </c>
      <c r="D18" s="22" t="s">
        <v>38</v>
      </c>
      <c r="E18" s="22" t="s">
        <v>38</v>
      </c>
      <c r="F18" s="22" t="s">
        <v>14</v>
      </c>
      <c r="G18" s="22" t="s">
        <v>15</v>
      </c>
      <c r="H18" s="22" t="s">
        <v>172</v>
      </c>
      <c r="I18" s="22">
        <v>50.0</v>
      </c>
      <c r="J18" s="22" t="s">
        <v>173</v>
      </c>
      <c r="K18" s="18">
        <v>5512945.0</v>
      </c>
      <c r="L18" s="18">
        <v>305771.0</v>
      </c>
      <c r="M18" s="18">
        <v>5207174.0</v>
      </c>
      <c r="N18" s="23">
        <v>205.4</v>
      </c>
      <c r="O18" s="25">
        <v>3243.0</v>
      </c>
      <c r="P18" s="22">
        <v>7.0</v>
      </c>
      <c r="Q18" s="22">
        <f t="shared" si="1"/>
        <v>0.9445358152</v>
      </c>
    </row>
    <row r="19">
      <c r="A19" s="22" t="s">
        <v>24</v>
      </c>
      <c r="B19" s="22" t="s">
        <v>115</v>
      </c>
      <c r="C19" s="22" t="s">
        <v>17</v>
      </c>
      <c r="D19" s="22" t="s">
        <v>38</v>
      </c>
      <c r="E19" s="22" t="s">
        <v>38</v>
      </c>
      <c r="F19" s="22" t="s">
        <v>18</v>
      </c>
      <c r="G19" s="22" t="s">
        <v>21</v>
      </c>
      <c r="H19" s="22" t="s">
        <v>174</v>
      </c>
      <c r="I19" s="22">
        <v>41.0</v>
      </c>
      <c r="J19" s="22" t="s">
        <v>140</v>
      </c>
      <c r="K19" s="18">
        <v>5246901.0</v>
      </c>
      <c r="L19" s="18">
        <v>229985.0</v>
      </c>
      <c r="M19" s="18">
        <v>5016916.0</v>
      </c>
      <c r="N19" s="23">
        <v>193.67</v>
      </c>
      <c r="O19" s="22">
        <v>355.0</v>
      </c>
      <c r="P19" s="22">
        <v>8.0</v>
      </c>
      <c r="Q19" s="22">
        <f t="shared" si="1"/>
        <v>0.9561674596</v>
      </c>
    </row>
    <row r="20">
      <c r="A20" s="22" t="s">
        <v>24</v>
      </c>
      <c r="B20" s="22" t="s">
        <v>130</v>
      </c>
      <c r="C20" s="22" t="s">
        <v>17</v>
      </c>
      <c r="D20" s="22" t="s">
        <v>38</v>
      </c>
      <c r="E20" s="22" t="s">
        <v>38</v>
      </c>
      <c r="F20" s="22" t="s">
        <v>14</v>
      </c>
      <c r="G20" s="22" t="s">
        <v>21</v>
      </c>
      <c r="H20" s="22" t="s">
        <v>175</v>
      </c>
      <c r="I20" s="22">
        <v>41.0</v>
      </c>
      <c r="J20" s="22" t="s">
        <v>176</v>
      </c>
      <c r="K20" s="18">
        <v>5246901.0</v>
      </c>
      <c r="L20" s="18">
        <v>229985.0</v>
      </c>
      <c r="M20" s="18">
        <v>5016916.0</v>
      </c>
      <c r="N20" s="23">
        <v>193.67</v>
      </c>
      <c r="O20" s="22">
        <v>355.0</v>
      </c>
      <c r="P20" s="22">
        <v>8.0</v>
      </c>
      <c r="Q20" s="22">
        <f t="shared" si="1"/>
        <v>0.9561674596</v>
      </c>
    </row>
    <row r="21">
      <c r="A21" s="22" t="s">
        <v>30</v>
      </c>
      <c r="B21" s="22" t="s">
        <v>130</v>
      </c>
      <c r="C21" s="22" t="s">
        <v>13</v>
      </c>
      <c r="D21" s="22" t="s">
        <v>38</v>
      </c>
      <c r="E21" s="22" t="s">
        <v>38</v>
      </c>
      <c r="F21" s="22" t="s">
        <v>14</v>
      </c>
      <c r="G21" s="22" t="s">
        <v>15</v>
      </c>
      <c r="H21" s="22" t="s">
        <v>177</v>
      </c>
      <c r="I21" s="22">
        <v>41.0</v>
      </c>
      <c r="J21" s="22" t="s">
        <v>140</v>
      </c>
      <c r="K21" s="18">
        <v>4739155.0</v>
      </c>
      <c r="L21" s="18">
        <v>44868.0</v>
      </c>
      <c r="M21" s="18">
        <v>4694287.0</v>
      </c>
      <c r="N21" s="23">
        <v>177.16</v>
      </c>
      <c r="O21" s="25">
        <v>1384.0</v>
      </c>
      <c r="P21" s="22">
        <v>9.0</v>
      </c>
      <c r="Q21" s="22">
        <f t="shared" si="1"/>
        <v>0.9905324894</v>
      </c>
    </row>
    <row r="22">
      <c r="A22" s="22" t="s">
        <v>30</v>
      </c>
      <c r="B22" s="22" t="s">
        <v>115</v>
      </c>
      <c r="C22" s="22" t="s">
        <v>13</v>
      </c>
      <c r="D22" s="22" t="s">
        <v>38</v>
      </c>
      <c r="E22" s="22" t="s">
        <v>38</v>
      </c>
      <c r="F22" s="22" t="s">
        <v>14</v>
      </c>
      <c r="G22" s="22" t="s">
        <v>15</v>
      </c>
      <c r="H22" s="22" t="s">
        <v>178</v>
      </c>
      <c r="I22" s="22">
        <v>41.0</v>
      </c>
      <c r="J22" s="22" t="s">
        <v>179</v>
      </c>
      <c r="K22" s="18">
        <v>4739155.0</v>
      </c>
      <c r="L22" s="18">
        <v>44868.0</v>
      </c>
      <c r="M22" s="18">
        <v>4694287.0</v>
      </c>
      <c r="N22" s="23">
        <v>177.16</v>
      </c>
      <c r="O22" s="25">
        <v>1384.0</v>
      </c>
      <c r="P22" s="22">
        <v>9.0</v>
      </c>
      <c r="Q22" s="22">
        <f t="shared" si="1"/>
        <v>0.9905324894</v>
      </c>
    </row>
    <row r="23">
      <c r="A23" s="22" t="s">
        <v>16</v>
      </c>
      <c r="B23" s="22" t="s">
        <v>115</v>
      </c>
      <c r="C23" s="22" t="s">
        <v>17</v>
      </c>
      <c r="D23" s="22" t="s">
        <v>38</v>
      </c>
      <c r="E23" s="22" t="s">
        <v>38</v>
      </c>
      <c r="F23" s="22" t="s">
        <v>136</v>
      </c>
      <c r="G23" s="22" t="s">
        <v>15</v>
      </c>
      <c r="H23" s="22" t="s">
        <v>180</v>
      </c>
      <c r="I23" s="22">
        <v>42.0</v>
      </c>
      <c r="J23" s="22" t="s">
        <v>181</v>
      </c>
      <c r="K23" s="18">
        <v>4125785.0</v>
      </c>
      <c r="L23" s="18">
        <v>-352538.0</v>
      </c>
      <c r="M23" s="18">
        <v>4478323.0</v>
      </c>
      <c r="N23" s="23">
        <v>126.98</v>
      </c>
      <c r="O23" s="25">
        <v>5552.0</v>
      </c>
      <c r="P23" s="22">
        <v>14.0</v>
      </c>
      <c r="Q23" s="22">
        <f t="shared" si="1"/>
        <v>1.085447497</v>
      </c>
    </row>
    <row r="24">
      <c r="A24" s="22" t="s">
        <v>16</v>
      </c>
      <c r="B24" s="22" t="s">
        <v>130</v>
      </c>
      <c r="C24" s="22" t="s">
        <v>17</v>
      </c>
      <c r="D24" s="22" t="s">
        <v>38</v>
      </c>
      <c r="E24" s="22" t="s">
        <v>38</v>
      </c>
      <c r="F24" s="22" t="s">
        <v>136</v>
      </c>
      <c r="G24" s="22" t="s">
        <v>15</v>
      </c>
      <c r="H24" s="22" t="s">
        <v>182</v>
      </c>
      <c r="I24" s="22">
        <v>42.0</v>
      </c>
      <c r="J24" s="22" t="s">
        <v>161</v>
      </c>
      <c r="K24" s="18">
        <v>4125785.0</v>
      </c>
      <c r="L24" s="18">
        <v>-352538.0</v>
      </c>
      <c r="M24" s="18">
        <v>4478323.0</v>
      </c>
      <c r="N24" s="23">
        <v>126.98</v>
      </c>
      <c r="O24" s="25">
        <v>5552.0</v>
      </c>
      <c r="P24" s="22">
        <v>14.0</v>
      </c>
      <c r="Q24" s="22">
        <f t="shared" si="1"/>
        <v>1.085447497</v>
      </c>
    </row>
    <row r="25">
      <c r="A25" s="22" t="s">
        <v>23</v>
      </c>
      <c r="B25" s="22" t="s">
        <v>115</v>
      </c>
      <c r="C25" s="22" t="s">
        <v>13</v>
      </c>
      <c r="D25" s="22" t="s">
        <v>38</v>
      </c>
      <c r="E25" s="22" t="s">
        <v>38</v>
      </c>
      <c r="F25" s="22" t="s">
        <v>136</v>
      </c>
      <c r="G25" s="22" t="s">
        <v>15</v>
      </c>
      <c r="H25" s="22" t="s">
        <v>163</v>
      </c>
      <c r="I25" s="22">
        <v>56.0</v>
      </c>
      <c r="J25" s="22" t="s">
        <v>183</v>
      </c>
      <c r="K25" s="18">
        <v>3663042.0</v>
      </c>
      <c r="L25" s="18">
        <v>82203.0</v>
      </c>
      <c r="M25" s="18">
        <v>3580839.0</v>
      </c>
      <c r="N25" s="23">
        <v>211.02</v>
      </c>
      <c r="O25" s="25">
        <v>5053.0</v>
      </c>
      <c r="P25" s="22">
        <v>5.0</v>
      </c>
      <c r="Q25" s="22">
        <f t="shared" si="1"/>
        <v>0.9775588159</v>
      </c>
    </row>
    <row r="26">
      <c r="A26" s="22" t="s">
        <v>32</v>
      </c>
      <c r="B26" s="22" t="s">
        <v>115</v>
      </c>
      <c r="C26" s="22" t="s">
        <v>17</v>
      </c>
      <c r="D26" s="22" t="s">
        <v>38</v>
      </c>
      <c r="E26" s="22" t="s">
        <v>38</v>
      </c>
      <c r="F26" s="22" t="s">
        <v>14</v>
      </c>
      <c r="G26" s="22" t="s">
        <v>15</v>
      </c>
      <c r="H26" s="22" t="s">
        <v>81</v>
      </c>
      <c r="I26" s="22">
        <v>45.0</v>
      </c>
      <c r="J26" s="22" t="s">
        <v>107</v>
      </c>
      <c r="K26" s="18">
        <v>3403562.0</v>
      </c>
      <c r="L26" s="18">
        <v>20568.0</v>
      </c>
      <c r="M26" s="18">
        <v>3382994.0</v>
      </c>
      <c r="N26" s="23">
        <v>127.63</v>
      </c>
      <c r="O26" s="22">
        <v>221.0</v>
      </c>
      <c r="P26" s="22">
        <v>13.0</v>
      </c>
      <c r="Q26" s="22">
        <f t="shared" si="1"/>
        <v>0.9939569193</v>
      </c>
    </row>
    <row r="27">
      <c r="A27" s="22" t="s">
        <v>32</v>
      </c>
      <c r="B27" s="22" t="s">
        <v>115</v>
      </c>
      <c r="C27" s="22" t="s">
        <v>13</v>
      </c>
      <c r="D27" s="22" t="s">
        <v>38</v>
      </c>
      <c r="E27" s="22" t="s">
        <v>38</v>
      </c>
      <c r="F27" s="22" t="s">
        <v>14</v>
      </c>
      <c r="G27" s="22" t="s">
        <v>15</v>
      </c>
      <c r="H27" s="22" t="s">
        <v>184</v>
      </c>
      <c r="I27" s="22">
        <v>45.0</v>
      </c>
      <c r="J27" s="22" t="s">
        <v>185</v>
      </c>
      <c r="K27" s="18">
        <v>3403562.0</v>
      </c>
      <c r="L27" s="18">
        <v>20568.0</v>
      </c>
      <c r="M27" s="18">
        <v>3382994.0</v>
      </c>
      <c r="N27" s="23">
        <v>127.63</v>
      </c>
      <c r="O27" s="22">
        <v>221.0</v>
      </c>
      <c r="P27" s="22">
        <v>13.0</v>
      </c>
      <c r="Q27" s="22">
        <f t="shared" si="1"/>
        <v>0.9939569193</v>
      </c>
    </row>
    <row r="28">
      <c r="A28" s="22" t="s">
        <v>28</v>
      </c>
      <c r="B28" s="22" t="s">
        <v>115</v>
      </c>
      <c r="C28" s="22" t="s">
        <v>13</v>
      </c>
      <c r="D28" s="22" t="s">
        <v>38</v>
      </c>
      <c r="E28" s="22" t="s">
        <v>38</v>
      </c>
      <c r="F28" s="22" t="s">
        <v>136</v>
      </c>
      <c r="G28" s="22" t="s">
        <v>19</v>
      </c>
      <c r="H28" s="22" t="s">
        <v>178</v>
      </c>
      <c r="I28" s="22">
        <v>46.0</v>
      </c>
      <c r="J28" s="22" t="s">
        <v>186</v>
      </c>
      <c r="K28" s="18">
        <v>3080943.0</v>
      </c>
      <c r="L28" s="18">
        <v>-159049.0</v>
      </c>
      <c r="M28" s="18">
        <v>3239992.0</v>
      </c>
      <c r="N28" s="23">
        <v>120.33</v>
      </c>
      <c r="O28" s="25">
        <v>4316.0</v>
      </c>
      <c r="P28" s="22">
        <v>15.0</v>
      </c>
      <c r="Q28" s="22">
        <f t="shared" si="1"/>
        <v>1.05162348</v>
      </c>
    </row>
    <row r="29">
      <c r="A29" s="22" t="s">
        <v>28</v>
      </c>
      <c r="B29" s="22" t="s">
        <v>130</v>
      </c>
      <c r="C29" s="22" t="s">
        <v>13</v>
      </c>
      <c r="D29" s="22" t="s">
        <v>38</v>
      </c>
      <c r="E29" s="22" t="s">
        <v>69</v>
      </c>
      <c r="F29" s="22" t="s">
        <v>136</v>
      </c>
      <c r="G29" s="22" t="s">
        <v>19</v>
      </c>
      <c r="H29" s="22" t="s">
        <v>66</v>
      </c>
      <c r="I29" s="22">
        <v>46.0</v>
      </c>
      <c r="J29" s="22" t="s">
        <v>187</v>
      </c>
      <c r="K29" s="18">
        <v>3080943.0</v>
      </c>
      <c r="L29" s="18">
        <v>-159049.0</v>
      </c>
      <c r="M29" s="18">
        <v>3239992.0</v>
      </c>
      <c r="N29" s="23">
        <v>120.33</v>
      </c>
      <c r="O29" s="25">
        <v>4316.0</v>
      </c>
      <c r="P29" s="22">
        <v>15.0</v>
      </c>
      <c r="Q29" s="22">
        <f t="shared" si="1"/>
        <v>1.05162348</v>
      </c>
    </row>
  </sheetData>
  <autoFilter ref="$A$1:$Q$29">
    <sortState ref="A1:Q29">
      <sortCondition descending="1" ref="K1:K29"/>
      <sortCondition ref="Q1:Q29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</cols>
  <sheetData>
    <row r="1">
      <c r="A1" s="1" t="s">
        <v>0</v>
      </c>
      <c r="B1" s="1" t="s">
        <v>112</v>
      </c>
      <c r="C1" s="1" t="s">
        <v>1</v>
      </c>
      <c r="D1" s="1" t="s">
        <v>113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151</v>
      </c>
      <c r="J1" s="1" t="s">
        <v>5</v>
      </c>
      <c r="K1" s="1" t="s">
        <v>7</v>
      </c>
      <c r="L1" s="1" t="s">
        <v>8</v>
      </c>
      <c r="M1" s="1" t="s">
        <v>35</v>
      </c>
      <c r="N1" s="1" t="s">
        <v>6</v>
      </c>
      <c r="O1" s="1" t="s">
        <v>114</v>
      </c>
      <c r="P1" s="1" t="s">
        <v>11</v>
      </c>
      <c r="Q1" s="1" t="s">
        <v>37</v>
      </c>
    </row>
    <row r="2">
      <c r="A2" s="22" t="s">
        <v>29</v>
      </c>
      <c r="B2" s="22" t="s">
        <v>115</v>
      </c>
      <c r="C2" s="22" t="s">
        <v>13</v>
      </c>
      <c r="D2" s="22" t="s">
        <v>38</v>
      </c>
      <c r="E2" s="22" t="s">
        <v>38</v>
      </c>
      <c r="F2" s="22" t="s">
        <v>14</v>
      </c>
      <c r="G2" s="22" t="s">
        <v>19</v>
      </c>
      <c r="H2" s="22" t="s">
        <v>188</v>
      </c>
      <c r="I2" s="22">
        <v>49.0</v>
      </c>
      <c r="J2" s="22" t="s">
        <v>117</v>
      </c>
      <c r="K2" s="18">
        <v>1035359.0</v>
      </c>
      <c r="L2" s="18">
        <v>8201516.0</v>
      </c>
      <c r="M2" s="18">
        <v>7166157.0</v>
      </c>
      <c r="N2" s="23">
        <v>352.41</v>
      </c>
      <c r="O2" s="25">
        <v>1685.0</v>
      </c>
      <c r="P2" s="22">
        <v>1.0</v>
      </c>
      <c r="Q2" s="22">
        <f t="shared" ref="Q2:Q31" si="1">M2/L2</f>
        <v>0.8737600463</v>
      </c>
    </row>
    <row r="3">
      <c r="A3" s="22" t="s">
        <v>29</v>
      </c>
      <c r="B3" s="22" t="s">
        <v>152</v>
      </c>
      <c r="C3" s="22" t="s">
        <v>13</v>
      </c>
      <c r="D3" s="22" t="s">
        <v>38</v>
      </c>
      <c r="E3" s="22" t="s">
        <v>38</v>
      </c>
      <c r="F3" s="22" t="s">
        <v>14</v>
      </c>
      <c r="G3" s="22" t="s">
        <v>19</v>
      </c>
      <c r="H3" s="22" t="s">
        <v>189</v>
      </c>
      <c r="I3" s="22">
        <v>49.0</v>
      </c>
      <c r="J3" s="22" t="s">
        <v>153</v>
      </c>
      <c r="K3" s="18">
        <v>1035359.0</v>
      </c>
      <c r="L3" s="18">
        <v>8201516.0</v>
      </c>
      <c r="M3" s="18">
        <v>7166157.0</v>
      </c>
      <c r="N3" s="23">
        <v>352.41</v>
      </c>
      <c r="O3" s="25">
        <v>1685.0</v>
      </c>
      <c r="P3" s="22">
        <v>1.0</v>
      </c>
      <c r="Q3" s="22">
        <f t="shared" si="1"/>
        <v>0.8737600463</v>
      </c>
    </row>
    <row r="4">
      <c r="A4" s="22" t="s">
        <v>23</v>
      </c>
      <c r="B4" s="22" t="s">
        <v>115</v>
      </c>
      <c r="C4" s="22" t="s">
        <v>13</v>
      </c>
      <c r="D4" s="22" t="s">
        <v>38</v>
      </c>
      <c r="E4" s="22" t="s">
        <v>38</v>
      </c>
      <c r="F4" s="22" t="s">
        <v>136</v>
      </c>
      <c r="G4" s="22" t="s">
        <v>15</v>
      </c>
      <c r="H4" s="22" t="s">
        <v>190</v>
      </c>
      <c r="I4" s="22">
        <v>52.0</v>
      </c>
      <c r="J4" s="22" t="s">
        <v>191</v>
      </c>
      <c r="K4" s="18">
        <v>959995.0</v>
      </c>
      <c r="L4" s="18">
        <v>8186440.0</v>
      </c>
      <c r="M4" s="18">
        <v>7226445.0</v>
      </c>
      <c r="N4" s="23">
        <v>307.02</v>
      </c>
      <c r="O4" s="25">
        <v>4022.0</v>
      </c>
      <c r="P4" s="22">
        <v>2.0</v>
      </c>
      <c r="Q4" s="22">
        <f t="shared" si="1"/>
        <v>0.8827335203</v>
      </c>
    </row>
    <row r="5">
      <c r="A5" s="22" t="s">
        <v>16</v>
      </c>
      <c r="B5" s="22" t="s">
        <v>130</v>
      </c>
      <c r="C5" s="22" t="s">
        <v>17</v>
      </c>
      <c r="D5" s="22" t="s">
        <v>38</v>
      </c>
      <c r="E5" s="22" t="s">
        <v>38</v>
      </c>
      <c r="F5" s="22" t="s">
        <v>136</v>
      </c>
      <c r="G5" s="22" t="s">
        <v>15</v>
      </c>
      <c r="H5" s="22" t="s">
        <v>45</v>
      </c>
      <c r="I5" s="22">
        <v>51.0</v>
      </c>
      <c r="J5" s="22" t="s">
        <v>161</v>
      </c>
      <c r="K5" s="18">
        <v>195859.0</v>
      </c>
      <c r="L5" s="18">
        <v>8026400.0</v>
      </c>
      <c r="M5" s="18">
        <v>7830541.0</v>
      </c>
      <c r="N5" s="23">
        <v>146.56</v>
      </c>
      <c r="O5" s="22">
        <v>495.0</v>
      </c>
      <c r="P5" s="22">
        <v>14.0</v>
      </c>
      <c r="Q5" s="22">
        <f t="shared" si="1"/>
        <v>0.9755981511</v>
      </c>
    </row>
    <row r="6">
      <c r="A6" s="22" t="s">
        <v>16</v>
      </c>
      <c r="B6" s="22" t="s">
        <v>115</v>
      </c>
      <c r="C6" s="22" t="s">
        <v>17</v>
      </c>
      <c r="D6" s="22" t="s">
        <v>38</v>
      </c>
      <c r="E6" s="22" t="s">
        <v>38</v>
      </c>
      <c r="F6" s="22" t="s">
        <v>136</v>
      </c>
      <c r="G6" s="22" t="s">
        <v>15</v>
      </c>
      <c r="H6" s="22" t="s">
        <v>192</v>
      </c>
      <c r="I6" s="22">
        <v>51.0</v>
      </c>
      <c r="J6" s="22" t="s">
        <v>181</v>
      </c>
      <c r="K6" s="18">
        <v>195859.0</v>
      </c>
      <c r="L6" s="18">
        <v>8026400.0</v>
      </c>
      <c r="M6" s="18">
        <v>7830541.0</v>
      </c>
      <c r="N6" s="23">
        <v>146.56</v>
      </c>
      <c r="O6" s="22">
        <v>495.0</v>
      </c>
      <c r="P6" s="22">
        <v>14.0</v>
      </c>
      <c r="Q6" s="22">
        <f t="shared" si="1"/>
        <v>0.9755981511</v>
      </c>
    </row>
    <row r="7">
      <c r="A7" s="22" t="s">
        <v>12</v>
      </c>
      <c r="B7" s="22" t="s">
        <v>122</v>
      </c>
      <c r="C7" s="22" t="s">
        <v>13</v>
      </c>
      <c r="D7" s="22" t="s">
        <v>38</v>
      </c>
      <c r="E7" s="22" t="s">
        <v>38</v>
      </c>
      <c r="F7" s="22" t="s">
        <v>136</v>
      </c>
      <c r="G7" s="22" t="s">
        <v>15</v>
      </c>
      <c r="H7" s="22" t="s">
        <v>193</v>
      </c>
      <c r="I7" s="22">
        <v>54.0</v>
      </c>
      <c r="J7" s="22" t="s">
        <v>194</v>
      </c>
      <c r="K7" s="18">
        <v>687291.0</v>
      </c>
      <c r="L7" s="18">
        <v>7869440.0</v>
      </c>
      <c r="M7" s="18">
        <v>7182149.0</v>
      </c>
      <c r="N7" s="23">
        <v>274.13</v>
      </c>
      <c r="O7" s="22">
        <v>405.0</v>
      </c>
      <c r="P7" s="22">
        <v>5.0</v>
      </c>
      <c r="Q7" s="22">
        <f t="shared" si="1"/>
        <v>0.9126632899</v>
      </c>
    </row>
    <row r="8">
      <c r="A8" s="22" t="s">
        <v>12</v>
      </c>
      <c r="B8" s="22" t="s">
        <v>115</v>
      </c>
      <c r="C8" s="22" t="s">
        <v>13</v>
      </c>
      <c r="D8" s="22" t="s">
        <v>38</v>
      </c>
      <c r="E8" s="22" t="s">
        <v>38</v>
      </c>
      <c r="F8" s="22" t="s">
        <v>14</v>
      </c>
      <c r="G8" s="22" t="s">
        <v>15</v>
      </c>
      <c r="H8" s="22" t="s">
        <v>195</v>
      </c>
      <c r="I8" s="22">
        <v>54.0</v>
      </c>
      <c r="J8" s="22" t="s">
        <v>171</v>
      </c>
      <c r="K8" s="18">
        <v>687291.0</v>
      </c>
      <c r="L8" s="18">
        <v>7869440.0</v>
      </c>
      <c r="M8" s="18">
        <v>7182149.0</v>
      </c>
      <c r="N8" s="23">
        <v>274.13</v>
      </c>
      <c r="O8" s="22">
        <v>405.0</v>
      </c>
      <c r="P8" s="22">
        <v>5.0</v>
      </c>
      <c r="Q8" s="22">
        <f t="shared" si="1"/>
        <v>0.9126632899</v>
      </c>
    </row>
    <row r="9">
      <c r="A9" s="22" t="s">
        <v>12</v>
      </c>
      <c r="B9" s="22" t="s">
        <v>130</v>
      </c>
      <c r="C9" s="22" t="s">
        <v>13</v>
      </c>
      <c r="D9" s="22" t="s">
        <v>38</v>
      </c>
      <c r="E9" s="22" t="s">
        <v>38</v>
      </c>
      <c r="F9" s="22" t="s">
        <v>14</v>
      </c>
      <c r="G9" s="22" t="s">
        <v>15</v>
      </c>
      <c r="H9" s="22" t="s">
        <v>184</v>
      </c>
      <c r="I9" s="22">
        <v>54.0</v>
      </c>
      <c r="J9" s="22" t="s">
        <v>196</v>
      </c>
      <c r="K9" s="18">
        <v>687291.0</v>
      </c>
      <c r="L9" s="18">
        <v>7869440.0</v>
      </c>
      <c r="M9" s="18">
        <v>7182149.0</v>
      </c>
      <c r="N9" s="23">
        <v>274.13</v>
      </c>
      <c r="O9" s="22">
        <v>405.0</v>
      </c>
      <c r="P9" s="22">
        <v>5.0</v>
      </c>
      <c r="Q9" s="22">
        <f t="shared" si="1"/>
        <v>0.9126632899</v>
      </c>
    </row>
    <row r="10">
      <c r="A10" s="22" t="s">
        <v>25</v>
      </c>
      <c r="B10" s="22" t="s">
        <v>115</v>
      </c>
      <c r="C10" s="22" t="s">
        <v>17</v>
      </c>
      <c r="D10" s="22" t="s">
        <v>38</v>
      </c>
      <c r="E10" s="22" t="s">
        <v>38</v>
      </c>
      <c r="F10" s="22" t="s">
        <v>18</v>
      </c>
      <c r="G10" s="22" t="s">
        <v>21</v>
      </c>
      <c r="H10" s="22" t="s">
        <v>197</v>
      </c>
      <c r="I10" s="22">
        <v>45.0</v>
      </c>
      <c r="J10" s="22" t="s">
        <v>198</v>
      </c>
      <c r="K10" s="18">
        <v>817242.0</v>
      </c>
      <c r="L10" s="18">
        <v>7855469.0</v>
      </c>
      <c r="M10" s="18">
        <v>7038227.0</v>
      </c>
      <c r="N10" s="23">
        <v>232.87</v>
      </c>
      <c r="O10" s="22">
        <v>459.0</v>
      </c>
      <c r="P10" s="22">
        <v>9.0</v>
      </c>
      <c r="Q10" s="22">
        <f t="shared" si="1"/>
        <v>0.8959652186</v>
      </c>
    </row>
    <row r="11">
      <c r="A11" s="22" t="s">
        <v>25</v>
      </c>
      <c r="B11" s="22" t="s">
        <v>152</v>
      </c>
      <c r="C11" s="22" t="s">
        <v>17</v>
      </c>
      <c r="D11" s="22" t="s">
        <v>38</v>
      </c>
      <c r="E11" s="22" t="s">
        <v>69</v>
      </c>
      <c r="F11" s="22" t="s">
        <v>18</v>
      </c>
      <c r="G11" s="22" t="s">
        <v>21</v>
      </c>
      <c r="H11" s="22" t="s">
        <v>199</v>
      </c>
      <c r="I11" s="22">
        <v>45.0</v>
      </c>
      <c r="J11" s="22" t="s">
        <v>200</v>
      </c>
      <c r="K11" s="18">
        <v>817242.0</v>
      </c>
      <c r="L11" s="18">
        <v>7855469.0</v>
      </c>
      <c r="M11" s="18">
        <v>7038227.0</v>
      </c>
      <c r="N11" s="23">
        <v>232.87</v>
      </c>
      <c r="O11" s="22">
        <v>459.0</v>
      </c>
      <c r="P11" s="22">
        <v>9.0</v>
      </c>
      <c r="Q11" s="22">
        <f t="shared" si="1"/>
        <v>0.8959652186</v>
      </c>
    </row>
    <row r="12">
      <c r="A12" s="22" t="s">
        <v>22</v>
      </c>
      <c r="B12" s="22" t="s">
        <v>130</v>
      </c>
      <c r="C12" s="22" t="s">
        <v>13</v>
      </c>
      <c r="D12" s="22" t="s">
        <v>69</v>
      </c>
      <c r="E12" s="22" t="s">
        <v>38</v>
      </c>
      <c r="F12" s="22" t="s">
        <v>14</v>
      </c>
      <c r="G12" s="22" t="s">
        <v>15</v>
      </c>
      <c r="H12" s="22" t="s">
        <v>39</v>
      </c>
      <c r="I12" s="22">
        <v>44.0</v>
      </c>
      <c r="J12" s="22" t="s">
        <v>155</v>
      </c>
      <c r="K12" s="18">
        <v>603121.0</v>
      </c>
      <c r="L12" s="18">
        <v>7022377.0</v>
      </c>
      <c r="M12" s="18">
        <v>6419256.0</v>
      </c>
      <c r="N12" s="23">
        <v>233.24</v>
      </c>
      <c r="O12" s="22">
        <v>455.0</v>
      </c>
      <c r="P12" s="22">
        <v>8.0</v>
      </c>
      <c r="Q12" s="22">
        <f t="shared" si="1"/>
        <v>0.9141144088</v>
      </c>
    </row>
    <row r="13">
      <c r="A13" s="22" t="s">
        <v>22</v>
      </c>
      <c r="B13" s="22" t="s">
        <v>115</v>
      </c>
      <c r="C13" s="22" t="s">
        <v>13</v>
      </c>
      <c r="D13" s="22" t="s">
        <v>38</v>
      </c>
      <c r="E13" s="22" t="s">
        <v>38</v>
      </c>
      <c r="F13" s="22" t="s">
        <v>14</v>
      </c>
      <c r="G13" s="22" t="s">
        <v>15</v>
      </c>
      <c r="H13" s="22" t="s">
        <v>201</v>
      </c>
      <c r="I13" s="22">
        <v>44.0</v>
      </c>
      <c r="J13" s="22" t="s">
        <v>142</v>
      </c>
      <c r="K13" s="18">
        <v>603121.0</v>
      </c>
      <c r="L13" s="18">
        <v>7022377.0</v>
      </c>
      <c r="M13" s="18">
        <v>6419256.0</v>
      </c>
      <c r="N13" s="23">
        <v>233.24</v>
      </c>
      <c r="O13" s="22">
        <v>455.0</v>
      </c>
      <c r="P13" s="22">
        <v>8.0</v>
      </c>
      <c r="Q13" s="22">
        <f t="shared" si="1"/>
        <v>0.9141144088</v>
      </c>
    </row>
    <row r="14">
      <c r="A14" s="22" t="s">
        <v>26</v>
      </c>
      <c r="B14" s="22" t="s">
        <v>152</v>
      </c>
      <c r="C14" s="22" t="s">
        <v>13</v>
      </c>
      <c r="D14" s="22" t="s">
        <v>38</v>
      </c>
      <c r="E14" s="22" t="s">
        <v>38</v>
      </c>
      <c r="F14" s="22" t="s">
        <v>136</v>
      </c>
      <c r="G14" s="22" t="s">
        <v>15</v>
      </c>
      <c r="H14" s="22" t="s">
        <v>202</v>
      </c>
      <c r="I14" s="22">
        <v>60.0</v>
      </c>
      <c r="J14" s="22" t="s">
        <v>203</v>
      </c>
      <c r="K14" s="18">
        <v>376278.0</v>
      </c>
      <c r="L14" s="18">
        <v>6289483.0</v>
      </c>
      <c r="M14" s="18">
        <v>5913205.0</v>
      </c>
      <c r="N14" s="23">
        <v>301.6</v>
      </c>
      <c r="O14" s="22">
        <v>336.0</v>
      </c>
      <c r="P14" s="22">
        <v>3.0</v>
      </c>
      <c r="Q14" s="22">
        <f t="shared" si="1"/>
        <v>0.940173461</v>
      </c>
    </row>
    <row r="15">
      <c r="A15" s="22" t="s">
        <v>26</v>
      </c>
      <c r="B15" s="22" t="s">
        <v>122</v>
      </c>
      <c r="C15" s="22" t="s">
        <v>13</v>
      </c>
      <c r="D15" s="22" t="s">
        <v>38</v>
      </c>
      <c r="E15" s="22" t="s">
        <v>38</v>
      </c>
      <c r="F15" s="22" t="s">
        <v>136</v>
      </c>
      <c r="G15" s="22" t="s">
        <v>15</v>
      </c>
      <c r="H15" s="22" t="s">
        <v>204</v>
      </c>
      <c r="I15" s="22">
        <v>60.0</v>
      </c>
      <c r="J15" s="22" t="s">
        <v>205</v>
      </c>
      <c r="K15" s="18">
        <v>376278.0</v>
      </c>
      <c r="L15" s="18">
        <v>6289483.0</v>
      </c>
      <c r="M15" s="18">
        <v>5913205.0</v>
      </c>
      <c r="N15" s="23">
        <v>301.6</v>
      </c>
      <c r="O15" s="22">
        <v>336.0</v>
      </c>
      <c r="P15" s="22">
        <v>3.0</v>
      </c>
      <c r="Q15" s="22">
        <f t="shared" si="1"/>
        <v>0.940173461</v>
      </c>
    </row>
    <row r="16">
      <c r="A16" s="22" t="s">
        <v>26</v>
      </c>
      <c r="B16" s="22" t="s">
        <v>115</v>
      </c>
      <c r="C16" s="22" t="s">
        <v>13</v>
      </c>
      <c r="D16" s="22" t="s">
        <v>38</v>
      </c>
      <c r="E16" s="22" t="s">
        <v>38</v>
      </c>
      <c r="F16" s="22" t="s">
        <v>14</v>
      </c>
      <c r="G16" s="22" t="s">
        <v>15</v>
      </c>
      <c r="H16" s="22" t="s">
        <v>172</v>
      </c>
      <c r="I16" s="22">
        <v>60.0</v>
      </c>
      <c r="J16" s="22" t="s">
        <v>92</v>
      </c>
      <c r="K16" s="18">
        <v>376278.0</v>
      </c>
      <c r="L16" s="18">
        <v>6289483.0</v>
      </c>
      <c r="M16" s="18">
        <v>5913205.0</v>
      </c>
      <c r="N16" s="23">
        <v>301.6</v>
      </c>
      <c r="O16" s="22">
        <v>336.0</v>
      </c>
      <c r="P16" s="22">
        <v>3.0</v>
      </c>
      <c r="Q16" s="22">
        <f t="shared" si="1"/>
        <v>0.940173461</v>
      </c>
    </row>
    <row r="17">
      <c r="A17" s="22" t="s">
        <v>31</v>
      </c>
      <c r="B17" s="22" t="s">
        <v>130</v>
      </c>
      <c r="C17" s="22" t="s">
        <v>13</v>
      </c>
      <c r="D17" s="22" t="s">
        <v>38</v>
      </c>
      <c r="E17" s="22" t="s">
        <v>38</v>
      </c>
      <c r="F17" s="22" t="s">
        <v>136</v>
      </c>
      <c r="G17" s="22" t="s">
        <v>158</v>
      </c>
      <c r="H17" s="22" t="s">
        <v>193</v>
      </c>
      <c r="I17" s="22">
        <v>53.0</v>
      </c>
      <c r="J17" s="22" t="s">
        <v>161</v>
      </c>
      <c r="K17" s="18">
        <v>319188.0</v>
      </c>
      <c r="L17" s="18">
        <v>6244910.0</v>
      </c>
      <c r="M17" s="18">
        <v>5925722.0</v>
      </c>
      <c r="N17" s="23">
        <v>191.29</v>
      </c>
      <c r="O17" s="25">
        <v>1335.0</v>
      </c>
      <c r="P17" s="22">
        <v>11.0</v>
      </c>
      <c r="Q17" s="22">
        <f t="shared" si="1"/>
        <v>0.9488882946</v>
      </c>
    </row>
    <row r="18">
      <c r="A18" s="22" t="s">
        <v>31</v>
      </c>
      <c r="B18" s="22" t="s">
        <v>115</v>
      </c>
      <c r="C18" s="22" t="s">
        <v>13</v>
      </c>
      <c r="D18" s="22" t="s">
        <v>38</v>
      </c>
      <c r="E18" s="22" t="s">
        <v>38</v>
      </c>
      <c r="F18" s="22" t="s">
        <v>136</v>
      </c>
      <c r="G18" s="22" t="s">
        <v>158</v>
      </c>
      <c r="H18" s="22" t="s">
        <v>159</v>
      </c>
      <c r="I18" s="22">
        <v>53.0</v>
      </c>
      <c r="J18" s="22" t="s">
        <v>134</v>
      </c>
      <c r="K18" s="18">
        <v>319188.0</v>
      </c>
      <c r="L18" s="18">
        <v>6244910.0</v>
      </c>
      <c r="M18" s="18">
        <v>5925722.0</v>
      </c>
      <c r="N18" s="23">
        <v>191.29</v>
      </c>
      <c r="O18" s="25">
        <v>1335.0</v>
      </c>
      <c r="P18" s="22">
        <v>11.0</v>
      </c>
      <c r="Q18" s="22">
        <f t="shared" si="1"/>
        <v>0.9488882946</v>
      </c>
    </row>
    <row r="19">
      <c r="A19" s="22" t="s">
        <v>33</v>
      </c>
      <c r="B19" s="22" t="s">
        <v>115</v>
      </c>
      <c r="C19" s="22" t="s">
        <v>13</v>
      </c>
      <c r="D19" s="22" t="s">
        <v>38</v>
      </c>
      <c r="E19" s="22" t="s">
        <v>38</v>
      </c>
      <c r="F19" s="22" t="s">
        <v>136</v>
      </c>
      <c r="G19" s="22" t="s">
        <v>15</v>
      </c>
      <c r="H19" s="22" t="s">
        <v>168</v>
      </c>
      <c r="I19" s="22">
        <v>40.0</v>
      </c>
      <c r="J19" s="16" t="s">
        <v>139</v>
      </c>
      <c r="K19" s="18">
        <v>573907.0</v>
      </c>
      <c r="L19" s="18">
        <v>5452279.0</v>
      </c>
      <c r="M19" s="18">
        <v>4878372.0</v>
      </c>
      <c r="N19" s="23">
        <v>293.01</v>
      </c>
      <c r="O19" s="25">
        <v>3674.0</v>
      </c>
      <c r="P19" s="22">
        <v>4.0</v>
      </c>
      <c r="Q19" s="22">
        <f t="shared" si="1"/>
        <v>0.8947399794</v>
      </c>
    </row>
    <row r="20">
      <c r="A20" s="22" t="s">
        <v>33</v>
      </c>
      <c r="B20" s="22" t="s">
        <v>130</v>
      </c>
      <c r="C20" s="22" t="s">
        <v>13</v>
      </c>
      <c r="D20" s="22" t="s">
        <v>38</v>
      </c>
      <c r="E20" s="22" t="s">
        <v>38</v>
      </c>
      <c r="F20" s="22" t="s">
        <v>136</v>
      </c>
      <c r="G20" s="22" t="s">
        <v>137</v>
      </c>
      <c r="H20" s="22" t="s">
        <v>169</v>
      </c>
      <c r="I20" s="22">
        <v>40.0</v>
      </c>
      <c r="J20" s="22" t="s">
        <v>97</v>
      </c>
      <c r="K20" s="18">
        <v>573907.0</v>
      </c>
      <c r="L20" s="18">
        <v>5452279.0</v>
      </c>
      <c r="M20" s="18">
        <v>4878372.0</v>
      </c>
      <c r="N20" s="23">
        <v>293.01</v>
      </c>
      <c r="O20" s="25">
        <v>3674.0</v>
      </c>
      <c r="P20" s="22">
        <v>4.0</v>
      </c>
      <c r="Q20" s="22">
        <f t="shared" si="1"/>
        <v>0.8947399794</v>
      </c>
    </row>
    <row r="21">
      <c r="A21" s="22" t="s">
        <v>28</v>
      </c>
      <c r="B21" s="22" t="s">
        <v>130</v>
      </c>
      <c r="C21" s="22" t="s">
        <v>13</v>
      </c>
      <c r="D21" s="22" t="s">
        <v>38</v>
      </c>
      <c r="E21" s="22" t="s">
        <v>69</v>
      </c>
      <c r="F21" s="22" t="s">
        <v>136</v>
      </c>
      <c r="G21" s="22" t="s">
        <v>19</v>
      </c>
      <c r="H21" s="22" t="s">
        <v>206</v>
      </c>
      <c r="I21" s="22">
        <v>45.0</v>
      </c>
      <c r="J21" s="22" t="s">
        <v>207</v>
      </c>
      <c r="K21" s="18">
        <v>296640.0</v>
      </c>
      <c r="L21" s="18">
        <v>5447088.0</v>
      </c>
      <c r="M21" s="18">
        <v>5150448.0</v>
      </c>
      <c r="N21" s="23">
        <v>149.99</v>
      </c>
      <c r="O21" s="25">
        <v>2346.0</v>
      </c>
      <c r="P21" s="22">
        <v>13.0</v>
      </c>
      <c r="Q21" s="22">
        <f t="shared" si="1"/>
        <v>0.9455415444</v>
      </c>
    </row>
    <row r="22">
      <c r="A22" s="22" t="s">
        <v>28</v>
      </c>
      <c r="B22" s="22" t="s">
        <v>115</v>
      </c>
      <c r="C22" s="22" t="s">
        <v>13</v>
      </c>
      <c r="D22" s="22" t="s">
        <v>38</v>
      </c>
      <c r="E22" s="22" t="s">
        <v>38</v>
      </c>
      <c r="F22" s="22" t="s">
        <v>136</v>
      </c>
      <c r="G22" s="22" t="s">
        <v>19</v>
      </c>
      <c r="H22" s="22" t="s">
        <v>208</v>
      </c>
      <c r="I22" s="22">
        <v>45.0</v>
      </c>
      <c r="J22" s="22" t="s">
        <v>97</v>
      </c>
      <c r="K22" s="18">
        <v>296640.0</v>
      </c>
      <c r="L22" s="18">
        <v>5447088.0</v>
      </c>
      <c r="M22" s="18">
        <v>5150448.0</v>
      </c>
      <c r="N22" s="23">
        <v>149.99</v>
      </c>
      <c r="O22" s="25">
        <v>2346.0</v>
      </c>
      <c r="P22" s="22">
        <v>13.0</v>
      </c>
      <c r="Q22" s="22">
        <f t="shared" si="1"/>
        <v>0.9455415444</v>
      </c>
    </row>
    <row r="23">
      <c r="A23" s="22" t="s">
        <v>27</v>
      </c>
      <c r="B23" s="22" t="s">
        <v>115</v>
      </c>
      <c r="C23" s="22" t="s">
        <v>13</v>
      </c>
      <c r="D23" s="22" t="s">
        <v>38</v>
      </c>
      <c r="E23" s="22" t="s">
        <v>38</v>
      </c>
      <c r="F23" s="22" t="s">
        <v>14</v>
      </c>
      <c r="G23" s="22" t="s">
        <v>15</v>
      </c>
      <c r="H23" s="22" t="s">
        <v>66</v>
      </c>
      <c r="I23" s="22">
        <v>39.0</v>
      </c>
      <c r="J23" s="22" t="s">
        <v>161</v>
      </c>
      <c r="K23" s="18">
        <v>375500.0</v>
      </c>
      <c r="L23" s="18">
        <v>4857919.0</v>
      </c>
      <c r="M23" s="18">
        <v>4482419.0</v>
      </c>
      <c r="N23" s="23">
        <v>248.5</v>
      </c>
      <c r="O23" s="22">
        <v>289.0</v>
      </c>
      <c r="P23" s="22">
        <v>7.0</v>
      </c>
      <c r="Q23" s="22">
        <f t="shared" si="1"/>
        <v>0.922703528</v>
      </c>
    </row>
    <row r="24">
      <c r="A24" s="22" t="s">
        <v>24</v>
      </c>
      <c r="B24" s="22" t="s">
        <v>115</v>
      </c>
      <c r="C24" s="22" t="s">
        <v>17</v>
      </c>
      <c r="D24" s="22" t="s">
        <v>38</v>
      </c>
      <c r="E24" s="22" t="s">
        <v>38</v>
      </c>
      <c r="F24" s="22" t="s">
        <v>14</v>
      </c>
      <c r="G24" s="22" t="s">
        <v>21</v>
      </c>
      <c r="H24" s="22" t="s">
        <v>197</v>
      </c>
      <c r="I24" s="22">
        <v>37.0</v>
      </c>
      <c r="J24" s="22" t="s">
        <v>173</v>
      </c>
      <c r="K24" s="18">
        <v>324679.0</v>
      </c>
      <c r="L24" s="18">
        <v>4714079.0</v>
      </c>
      <c r="M24" s="18">
        <v>4389400.0</v>
      </c>
      <c r="N24" s="23">
        <v>226.14</v>
      </c>
      <c r="O24" s="25">
        <v>2484.0</v>
      </c>
      <c r="P24" s="22">
        <v>10.0</v>
      </c>
      <c r="Q24" s="22">
        <f t="shared" si="1"/>
        <v>0.9311256769</v>
      </c>
    </row>
    <row r="25">
      <c r="A25" s="22" t="s">
        <v>24</v>
      </c>
      <c r="B25" s="22" t="s">
        <v>130</v>
      </c>
      <c r="C25" s="22" t="s">
        <v>17</v>
      </c>
      <c r="D25" s="22" t="s">
        <v>38</v>
      </c>
      <c r="E25" s="22" t="s">
        <v>38</v>
      </c>
      <c r="F25" s="22" t="s">
        <v>14</v>
      </c>
      <c r="G25" s="22" t="s">
        <v>21</v>
      </c>
      <c r="H25" s="22" t="s">
        <v>209</v>
      </c>
      <c r="I25" s="22">
        <v>37.0</v>
      </c>
      <c r="J25" s="22" t="s">
        <v>207</v>
      </c>
      <c r="K25" s="18">
        <v>324679.0</v>
      </c>
      <c r="L25" s="18">
        <v>4714079.0</v>
      </c>
      <c r="M25" s="18">
        <v>4389400.0</v>
      </c>
      <c r="N25" s="23">
        <v>226.14</v>
      </c>
      <c r="O25" s="25">
        <v>2484.0</v>
      </c>
      <c r="P25" s="22">
        <v>10.0</v>
      </c>
      <c r="Q25" s="22">
        <f t="shared" si="1"/>
        <v>0.9311256769</v>
      </c>
    </row>
    <row r="26">
      <c r="A26" s="22" t="s">
        <v>20</v>
      </c>
      <c r="B26" s="22" t="s">
        <v>115</v>
      </c>
      <c r="C26" s="22" t="s">
        <v>17</v>
      </c>
      <c r="D26" s="22" t="s">
        <v>38</v>
      </c>
      <c r="E26" s="22" t="s">
        <v>38</v>
      </c>
      <c r="F26" s="22" t="s">
        <v>14</v>
      </c>
      <c r="G26" s="22" t="s">
        <v>21</v>
      </c>
      <c r="H26" s="22" t="s">
        <v>210</v>
      </c>
      <c r="I26" s="22">
        <v>46.0</v>
      </c>
      <c r="J26" s="22" t="s">
        <v>207</v>
      </c>
      <c r="K26" s="18">
        <v>242962.0</v>
      </c>
      <c r="L26" s="18">
        <v>4616601.0</v>
      </c>
      <c r="M26" s="18">
        <v>4373639.0</v>
      </c>
      <c r="N26" s="23">
        <v>260.01</v>
      </c>
      <c r="O26" s="25">
        <v>4590.0</v>
      </c>
      <c r="P26" s="22">
        <v>6.0</v>
      </c>
      <c r="Q26" s="22">
        <f t="shared" si="1"/>
        <v>0.9473721034</v>
      </c>
    </row>
    <row r="27">
      <c r="A27" s="22" t="s">
        <v>20</v>
      </c>
      <c r="B27" s="22" t="s">
        <v>130</v>
      </c>
      <c r="C27" s="22" t="s">
        <v>13</v>
      </c>
      <c r="D27" s="22" t="s">
        <v>38</v>
      </c>
      <c r="E27" s="22" t="s">
        <v>69</v>
      </c>
      <c r="F27" s="22" t="s">
        <v>136</v>
      </c>
      <c r="G27" s="22" t="s">
        <v>19</v>
      </c>
      <c r="H27" s="22" t="s">
        <v>211</v>
      </c>
      <c r="I27" s="22">
        <v>46.0</v>
      </c>
      <c r="J27" s="22" t="s">
        <v>127</v>
      </c>
      <c r="K27" s="18">
        <v>242962.0</v>
      </c>
      <c r="L27" s="18">
        <v>4616601.0</v>
      </c>
      <c r="M27" s="18">
        <v>4373639.0</v>
      </c>
      <c r="N27" s="23">
        <v>260.01</v>
      </c>
      <c r="O27" s="25">
        <v>4590.0</v>
      </c>
      <c r="P27" s="22">
        <v>6.0</v>
      </c>
      <c r="Q27" s="22">
        <f t="shared" si="1"/>
        <v>0.9473721034</v>
      </c>
    </row>
    <row r="28">
      <c r="A28" s="22" t="s">
        <v>30</v>
      </c>
      <c r="B28" s="22" t="s">
        <v>130</v>
      </c>
      <c r="C28" s="22" t="s">
        <v>13</v>
      </c>
      <c r="D28" s="22" t="s">
        <v>38</v>
      </c>
      <c r="E28" s="22" t="s">
        <v>38</v>
      </c>
      <c r="F28" s="22" t="s">
        <v>14</v>
      </c>
      <c r="G28" s="22" t="s">
        <v>15</v>
      </c>
      <c r="H28" s="22" t="s">
        <v>212</v>
      </c>
      <c r="I28" s="22">
        <v>42.0</v>
      </c>
      <c r="J28" s="22" t="s">
        <v>140</v>
      </c>
      <c r="K28" s="18">
        <v>-91065.0</v>
      </c>
      <c r="L28" s="18">
        <v>4051020.0</v>
      </c>
      <c r="M28" s="18">
        <v>4142085.0</v>
      </c>
      <c r="N28" s="23">
        <v>168.05</v>
      </c>
      <c r="O28" s="25">
        <v>4023.0</v>
      </c>
      <c r="P28" s="22">
        <v>12.0</v>
      </c>
      <c r="Q28" s="22">
        <f t="shared" si="1"/>
        <v>1.022479524</v>
      </c>
    </row>
    <row r="29">
      <c r="A29" s="22" t="s">
        <v>30</v>
      </c>
      <c r="B29" s="22" t="s">
        <v>115</v>
      </c>
      <c r="C29" s="22" t="s">
        <v>13</v>
      </c>
      <c r="D29" s="22" t="s">
        <v>38</v>
      </c>
      <c r="E29" s="22" t="s">
        <v>38</v>
      </c>
      <c r="F29" s="22" t="s">
        <v>14</v>
      </c>
      <c r="G29" s="22" t="s">
        <v>15</v>
      </c>
      <c r="H29" s="22" t="s">
        <v>178</v>
      </c>
      <c r="I29" s="22">
        <v>42.0</v>
      </c>
      <c r="J29" s="22" t="s">
        <v>125</v>
      </c>
      <c r="K29" s="18">
        <v>-91065.0</v>
      </c>
      <c r="L29" s="18">
        <v>4051020.0</v>
      </c>
      <c r="M29" s="18">
        <v>4142085.0</v>
      </c>
      <c r="N29" s="23">
        <v>168.05</v>
      </c>
      <c r="O29" s="25">
        <v>4023.0</v>
      </c>
      <c r="P29" s="22">
        <v>12.0</v>
      </c>
      <c r="Q29" s="22">
        <f t="shared" si="1"/>
        <v>1.022479524</v>
      </c>
    </row>
    <row r="30">
      <c r="A30" s="22" t="s">
        <v>32</v>
      </c>
      <c r="B30" s="22" t="s">
        <v>115</v>
      </c>
      <c r="C30" s="22" t="s">
        <v>13</v>
      </c>
      <c r="D30" s="22" t="s">
        <v>38</v>
      </c>
      <c r="E30" s="22" t="s">
        <v>38</v>
      </c>
      <c r="F30" s="22" t="s">
        <v>14</v>
      </c>
      <c r="G30" s="22" t="s">
        <v>15</v>
      </c>
      <c r="H30" s="22" t="s">
        <v>184</v>
      </c>
      <c r="I30" s="22">
        <v>48.0</v>
      </c>
      <c r="J30" s="22" t="s">
        <v>185</v>
      </c>
      <c r="K30" s="18">
        <v>-14944.0</v>
      </c>
      <c r="L30" s="18">
        <v>3378790.0</v>
      </c>
      <c r="M30" s="18">
        <v>3393734.0</v>
      </c>
      <c r="N30" s="23">
        <v>126.13</v>
      </c>
      <c r="O30" s="22">
        <v>221.0</v>
      </c>
      <c r="P30" s="22">
        <v>15.0</v>
      </c>
      <c r="Q30" s="22">
        <f t="shared" si="1"/>
        <v>1.004422885</v>
      </c>
    </row>
    <row r="31">
      <c r="A31" s="22" t="s">
        <v>32</v>
      </c>
      <c r="B31" s="22" t="s">
        <v>115</v>
      </c>
      <c r="C31" s="22" t="s">
        <v>17</v>
      </c>
      <c r="D31" s="22" t="s">
        <v>38</v>
      </c>
      <c r="E31" s="22" t="s">
        <v>38</v>
      </c>
      <c r="F31" s="22" t="s">
        <v>14</v>
      </c>
      <c r="G31" s="22" t="s">
        <v>15</v>
      </c>
      <c r="H31" s="22" t="s">
        <v>156</v>
      </c>
      <c r="I31" s="22">
        <v>48.0</v>
      </c>
      <c r="J31" s="22" t="s">
        <v>107</v>
      </c>
      <c r="K31" s="18">
        <v>-14944.0</v>
      </c>
      <c r="L31" s="18">
        <v>3378790.0</v>
      </c>
      <c r="M31" s="18">
        <v>3393734.0</v>
      </c>
      <c r="N31" s="23">
        <v>126.13</v>
      </c>
      <c r="O31" s="22">
        <v>221.0</v>
      </c>
      <c r="P31" s="22">
        <v>15.0</v>
      </c>
      <c r="Q31" s="22">
        <f t="shared" si="1"/>
        <v>1.004422885</v>
      </c>
    </row>
    <row r="32">
      <c r="K32" s="18"/>
      <c r="L32" s="18"/>
      <c r="M32" s="18"/>
      <c r="N32" s="23"/>
      <c r="O32" s="25"/>
    </row>
    <row r="33">
      <c r="K33" s="18"/>
      <c r="L33" s="18"/>
      <c r="M33" s="18"/>
      <c r="N33" s="23"/>
    </row>
    <row r="34">
      <c r="K34" s="18"/>
      <c r="L34" s="18"/>
      <c r="M34" s="18"/>
      <c r="N34" s="23"/>
    </row>
    <row r="35">
      <c r="K35" s="18"/>
      <c r="L35" s="18"/>
      <c r="M35" s="18"/>
      <c r="N35" s="23"/>
    </row>
    <row r="36">
      <c r="K36" s="18"/>
      <c r="L36" s="18"/>
      <c r="M36" s="18"/>
      <c r="N36" s="23"/>
    </row>
    <row r="37">
      <c r="K37" s="18"/>
      <c r="L37" s="18"/>
      <c r="M37" s="18"/>
      <c r="N37" s="23"/>
    </row>
    <row r="38">
      <c r="K38" s="18"/>
      <c r="L38" s="18"/>
      <c r="M38" s="18"/>
      <c r="N38" s="23"/>
      <c r="O38" s="25"/>
    </row>
    <row r="40">
      <c r="K40" s="18"/>
      <c r="L40" s="18"/>
      <c r="M40" s="18"/>
      <c r="N40" s="23"/>
      <c r="O40" s="25"/>
    </row>
    <row r="41">
      <c r="K41" s="18"/>
      <c r="L41" s="18"/>
      <c r="M41" s="18"/>
      <c r="N41" s="23"/>
      <c r="O41" s="25"/>
    </row>
    <row r="42">
      <c r="K42" s="18"/>
      <c r="L42" s="18"/>
      <c r="M42" s="18"/>
      <c r="N42" s="23"/>
      <c r="O42" s="25"/>
    </row>
    <row r="43">
      <c r="K43" s="18"/>
      <c r="L43" s="18"/>
      <c r="M43" s="18"/>
      <c r="N43" s="23"/>
    </row>
    <row r="44">
      <c r="K44" s="18"/>
      <c r="L44" s="18"/>
      <c r="M44" s="18"/>
      <c r="N44" s="23"/>
    </row>
    <row r="45">
      <c r="K45" s="18"/>
      <c r="L45" s="18"/>
      <c r="M45" s="18"/>
      <c r="N45" s="23"/>
    </row>
    <row r="46">
      <c r="K46" s="18"/>
      <c r="L46" s="18"/>
      <c r="M46" s="18"/>
      <c r="N46" s="23"/>
    </row>
    <row r="47">
      <c r="K47" s="18"/>
      <c r="L47" s="18"/>
      <c r="M47" s="18"/>
      <c r="N47" s="23"/>
    </row>
    <row r="48">
      <c r="K48" s="18"/>
      <c r="L48" s="18"/>
      <c r="M48" s="18"/>
      <c r="N48" s="23"/>
    </row>
    <row r="49">
      <c r="K49" s="18"/>
      <c r="L49" s="18"/>
      <c r="M49" s="18"/>
      <c r="N49" s="23"/>
    </row>
    <row r="50">
      <c r="K50" s="18"/>
      <c r="L50" s="18"/>
      <c r="M50" s="18"/>
      <c r="N50" s="23"/>
      <c r="O50" s="25"/>
    </row>
    <row r="51">
      <c r="K51" s="18"/>
      <c r="L51" s="18"/>
      <c r="M51" s="18"/>
      <c r="N51" s="23"/>
      <c r="O51" s="25"/>
    </row>
    <row r="52">
      <c r="K52" s="18"/>
      <c r="L52" s="18"/>
      <c r="M52" s="18"/>
      <c r="N52" s="23"/>
    </row>
    <row r="53">
      <c r="K53" s="18"/>
      <c r="L53" s="18"/>
      <c r="M53" s="18"/>
      <c r="N53" s="23"/>
    </row>
    <row r="54">
      <c r="K54" s="18"/>
      <c r="L54" s="18"/>
      <c r="M54" s="18"/>
      <c r="N54" s="23"/>
    </row>
    <row r="55">
      <c r="K55" s="18"/>
      <c r="L55" s="18"/>
      <c r="M55" s="18"/>
      <c r="N55" s="23"/>
    </row>
    <row r="56">
      <c r="K56" s="18"/>
      <c r="L56" s="18"/>
      <c r="M56" s="18"/>
      <c r="N56" s="23"/>
      <c r="O56" s="25"/>
    </row>
    <row r="57">
      <c r="K57" s="18"/>
      <c r="L57" s="18"/>
      <c r="M57" s="18"/>
      <c r="N57" s="23"/>
      <c r="O57" s="25"/>
    </row>
    <row r="58">
      <c r="K58" s="18"/>
      <c r="L58" s="18"/>
      <c r="M58" s="18"/>
      <c r="N58" s="23"/>
      <c r="O58" s="25"/>
    </row>
    <row r="59">
      <c r="K59" s="18"/>
      <c r="L59" s="18"/>
      <c r="M59" s="18"/>
      <c r="N59" s="23"/>
      <c r="O59" s="25"/>
    </row>
    <row r="60">
      <c r="K60" s="18"/>
      <c r="L60" s="18"/>
      <c r="M60" s="18"/>
      <c r="N60" s="23"/>
      <c r="O60" s="25"/>
    </row>
    <row r="61">
      <c r="K61" s="18"/>
      <c r="L61" s="18"/>
      <c r="M61" s="18"/>
      <c r="N61" s="23"/>
      <c r="O61" s="25"/>
    </row>
    <row r="62">
      <c r="K62" s="18"/>
      <c r="L62" s="18"/>
      <c r="M62" s="18"/>
      <c r="N62" s="23"/>
      <c r="O62" s="25"/>
    </row>
    <row r="63">
      <c r="K63" s="18"/>
      <c r="L63" s="18"/>
      <c r="M63" s="18"/>
      <c r="N63" s="23"/>
      <c r="O63" s="25"/>
    </row>
    <row r="64">
      <c r="K64" s="18"/>
      <c r="L64" s="18"/>
      <c r="M64" s="18"/>
      <c r="N64" s="23"/>
    </row>
    <row r="65">
      <c r="K65" s="18"/>
      <c r="L65" s="18"/>
      <c r="M65" s="18"/>
      <c r="N65" s="23"/>
    </row>
    <row r="66">
      <c r="K66" s="18"/>
      <c r="L66" s="18"/>
      <c r="M66" s="18"/>
      <c r="N66" s="23"/>
    </row>
    <row r="67">
      <c r="K67" s="18"/>
      <c r="L67" s="18"/>
      <c r="M67" s="18"/>
      <c r="N67" s="23"/>
    </row>
    <row r="68">
      <c r="K68" s="18"/>
      <c r="L68" s="18"/>
      <c r="M68" s="18"/>
      <c r="N68" s="23"/>
      <c r="O68" s="25"/>
    </row>
    <row r="69">
      <c r="K69" s="18"/>
      <c r="L69" s="18"/>
      <c r="M69" s="18"/>
      <c r="N69" s="23"/>
      <c r="O69" s="25"/>
    </row>
  </sheetData>
  <autoFilter ref="$A$1:$Q$31">
    <sortState ref="A1:Q31">
      <sortCondition descending="1" ref="L1:L31"/>
      <sortCondition ref="Q1:Q31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1" t="s">
        <v>112</v>
      </c>
      <c r="C1" s="1" t="s">
        <v>1</v>
      </c>
      <c r="D1" s="1" t="s">
        <v>113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151</v>
      </c>
      <c r="J1" s="1" t="s">
        <v>5</v>
      </c>
      <c r="K1" s="2" t="s">
        <v>7</v>
      </c>
      <c r="L1" s="1" t="s">
        <v>8</v>
      </c>
      <c r="M1" s="1" t="s">
        <v>35</v>
      </c>
      <c r="N1" s="1" t="s">
        <v>6</v>
      </c>
      <c r="O1" s="1" t="s">
        <v>114</v>
      </c>
      <c r="P1" s="2" t="s">
        <v>11</v>
      </c>
      <c r="Q1" s="1" t="s">
        <v>37</v>
      </c>
    </row>
    <row r="2">
      <c r="A2" s="22" t="s">
        <v>29</v>
      </c>
      <c r="B2" s="22" t="s">
        <v>115</v>
      </c>
      <c r="C2" s="22" t="s">
        <v>13</v>
      </c>
      <c r="D2" s="22" t="s">
        <v>38</v>
      </c>
      <c r="E2" s="22" t="s">
        <v>38</v>
      </c>
      <c r="F2" s="22" t="s">
        <v>14</v>
      </c>
      <c r="G2" s="22" t="s">
        <v>19</v>
      </c>
      <c r="H2" s="22" t="s">
        <v>211</v>
      </c>
      <c r="I2" s="21">
        <v>46.0</v>
      </c>
      <c r="J2" s="22" t="s">
        <v>213</v>
      </c>
      <c r="K2" s="24">
        <v>1017349.0</v>
      </c>
      <c r="L2" s="24">
        <v>9646164.0</v>
      </c>
      <c r="M2" s="18">
        <v>8628815.0</v>
      </c>
      <c r="N2" s="23">
        <v>454.14</v>
      </c>
      <c r="O2" s="25">
        <v>1867.0</v>
      </c>
      <c r="P2" s="21">
        <v>1.0</v>
      </c>
      <c r="Q2" s="22">
        <f t="shared" ref="Q2:Q36" si="1">M2/L2</f>
        <v>0.8945333088</v>
      </c>
    </row>
    <row r="3">
      <c r="A3" s="22" t="s">
        <v>29</v>
      </c>
      <c r="B3" s="22" t="s">
        <v>152</v>
      </c>
      <c r="C3" s="22" t="s">
        <v>13</v>
      </c>
      <c r="D3" s="22" t="s">
        <v>38</v>
      </c>
      <c r="E3" s="22" t="s">
        <v>38</v>
      </c>
      <c r="F3" s="22" t="s">
        <v>14</v>
      </c>
      <c r="G3" s="22" t="s">
        <v>19</v>
      </c>
      <c r="H3" s="22" t="s">
        <v>206</v>
      </c>
      <c r="I3" s="21">
        <v>46.0</v>
      </c>
      <c r="J3" s="22" t="s">
        <v>214</v>
      </c>
      <c r="K3" s="24">
        <v>1017349.0</v>
      </c>
      <c r="L3" s="24">
        <v>9646164.0</v>
      </c>
      <c r="M3" s="18">
        <v>8628815.0</v>
      </c>
      <c r="N3" s="23">
        <v>454.14</v>
      </c>
      <c r="O3" s="25">
        <v>1867.0</v>
      </c>
      <c r="P3" s="21">
        <v>1.0</v>
      </c>
      <c r="Q3" s="22">
        <f t="shared" si="1"/>
        <v>0.8945333088</v>
      </c>
    </row>
    <row r="4">
      <c r="A4" s="22" t="s">
        <v>25</v>
      </c>
      <c r="B4" s="22" t="s">
        <v>115</v>
      </c>
      <c r="C4" s="22" t="s">
        <v>17</v>
      </c>
      <c r="D4" s="22" t="s">
        <v>38</v>
      </c>
      <c r="E4" s="22" t="s">
        <v>38</v>
      </c>
      <c r="F4" s="22" t="s">
        <v>18</v>
      </c>
      <c r="G4" s="22" t="s">
        <v>21</v>
      </c>
      <c r="H4" s="22" t="s">
        <v>215</v>
      </c>
      <c r="I4" s="21">
        <v>50.0</v>
      </c>
      <c r="J4" s="22" t="s">
        <v>216</v>
      </c>
      <c r="K4" s="24">
        <v>1020339.0</v>
      </c>
      <c r="L4" s="24">
        <v>8737863.0</v>
      </c>
      <c r="M4" s="18">
        <v>7717524.0</v>
      </c>
      <c r="N4" s="23">
        <v>334.9</v>
      </c>
      <c r="O4" s="25">
        <v>2107.0</v>
      </c>
      <c r="P4" s="21">
        <v>5.0</v>
      </c>
      <c r="Q4" s="22">
        <f t="shared" si="1"/>
        <v>0.8832278556</v>
      </c>
    </row>
    <row r="5">
      <c r="A5" s="22" t="s">
        <v>25</v>
      </c>
      <c r="B5" s="22" t="s">
        <v>152</v>
      </c>
      <c r="C5" s="22" t="s">
        <v>17</v>
      </c>
      <c r="D5" s="22" t="s">
        <v>38</v>
      </c>
      <c r="E5" s="22" t="s">
        <v>69</v>
      </c>
      <c r="F5" s="22" t="s">
        <v>18</v>
      </c>
      <c r="G5" s="22" t="s">
        <v>21</v>
      </c>
      <c r="H5" s="22" t="s">
        <v>217</v>
      </c>
      <c r="I5" s="21">
        <v>50.0</v>
      </c>
      <c r="J5" s="22" t="s">
        <v>218</v>
      </c>
      <c r="K5" s="24">
        <v>1020339.0</v>
      </c>
      <c r="L5" s="24">
        <v>8737863.0</v>
      </c>
      <c r="M5" s="18">
        <v>7717524.0</v>
      </c>
      <c r="N5" s="23">
        <v>334.9</v>
      </c>
      <c r="O5" s="25">
        <v>2107.0</v>
      </c>
      <c r="P5" s="21">
        <v>5.0</v>
      </c>
      <c r="Q5" s="22">
        <f t="shared" si="1"/>
        <v>0.8832278556</v>
      </c>
    </row>
    <row r="6">
      <c r="A6" s="22" t="s">
        <v>22</v>
      </c>
      <c r="B6" s="22" t="s">
        <v>130</v>
      </c>
      <c r="C6" s="22" t="s">
        <v>13</v>
      </c>
      <c r="D6" s="22" t="s">
        <v>69</v>
      </c>
      <c r="E6" s="22" t="s">
        <v>38</v>
      </c>
      <c r="F6" s="22" t="s">
        <v>14</v>
      </c>
      <c r="G6" s="22" t="s">
        <v>15</v>
      </c>
      <c r="H6" s="22" t="s">
        <v>184</v>
      </c>
      <c r="I6" s="21">
        <v>48.0</v>
      </c>
      <c r="J6" s="22" t="s">
        <v>219</v>
      </c>
      <c r="K6" s="24">
        <v>901110.0</v>
      </c>
      <c r="L6" s="24">
        <v>8270640.0</v>
      </c>
      <c r="M6" s="18">
        <v>7369530.0</v>
      </c>
      <c r="N6" s="23">
        <v>323.35</v>
      </c>
      <c r="O6" s="22">
        <v>523.0</v>
      </c>
      <c r="P6" s="21">
        <v>6.0</v>
      </c>
      <c r="Q6" s="22">
        <f t="shared" si="1"/>
        <v>0.8910471257</v>
      </c>
    </row>
    <row r="7">
      <c r="A7" s="22" t="s">
        <v>22</v>
      </c>
      <c r="B7" s="22" t="s">
        <v>115</v>
      </c>
      <c r="C7" s="22" t="s">
        <v>13</v>
      </c>
      <c r="D7" s="22" t="s">
        <v>38</v>
      </c>
      <c r="E7" s="22" t="s">
        <v>38</v>
      </c>
      <c r="F7" s="22" t="s">
        <v>14</v>
      </c>
      <c r="G7" s="22" t="s">
        <v>15</v>
      </c>
      <c r="H7" s="22" t="s">
        <v>190</v>
      </c>
      <c r="I7" s="21">
        <v>48.0</v>
      </c>
      <c r="J7" s="22" t="s">
        <v>220</v>
      </c>
      <c r="K7" s="24">
        <v>901110.0</v>
      </c>
      <c r="L7" s="24">
        <v>8270640.0</v>
      </c>
      <c r="M7" s="18">
        <v>7369530.0</v>
      </c>
      <c r="N7" s="23">
        <v>323.35</v>
      </c>
      <c r="O7" s="22">
        <v>523.0</v>
      </c>
      <c r="P7" s="21">
        <v>6.0</v>
      </c>
      <c r="Q7" s="22">
        <f t="shared" si="1"/>
        <v>0.8910471257</v>
      </c>
    </row>
    <row r="8">
      <c r="A8" s="22" t="s">
        <v>23</v>
      </c>
      <c r="B8" s="22" t="s">
        <v>221</v>
      </c>
      <c r="C8" s="22" t="s">
        <v>13</v>
      </c>
      <c r="D8" s="22" t="s">
        <v>38</v>
      </c>
      <c r="E8" s="22" t="s">
        <v>38</v>
      </c>
      <c r="F8" s="22" t="s">
        <v>136</v>
      </c>
      <c r="G8" s="22" t="s">
        <v>15</v>
      </c>
      <c r="H8" s="22" t="s">
        <v>222</v>
      </c>
      <c r="I8" s="21">
        <v>61.0</v>
      </c>
      <c r="J8" s="22" t="s">
        <v>223</v>
      </c>
      <c r="K8" s="24">
        <v>676397.0</v>
      </c>
      <c r="L8" s="24">
        <v>7934068.0</v>
      </c>
      <c r="M8" s="18">
        <v>7257671.0</v>
      </c>
      <c r="N8" s="23">
        <v>374.66</v>
      </c>
      <c r="O8" s="25">
        <v>3114.0</v>
      </c>
      <c r="P8" s="21">
        <v>2.0</v>
      </c>
      <c r="Q8" s="22">
        <f t="shared" si="1"/>
        <v>0.9147477687</v>
      </c>
    </row>
    <row r="9">
      <c r="A9" s="22" t="s">
        <v>23</v>
      </c>
      <c r="B9" s="22" t="s">
        <v>115</v>
      </c>
      <c r="C9" s="22" t="s">
        <v>13</v>
      </c>
      <c r="D9" s="22" t="s">
        <v>38</v>
      </c>
      <c r="E9" s="22" t="s">
        <v>38</v>
      </c>
      <c r="F9" s="22" t="s">
        <v>136</v>
      </c>
      <c r="G9" s="22" t="s">
        <v>15</v>
      </c>
      <c r="H9" s="22" t="s">
        <v>224</v>
      </c>
      <c r="I9" s="21">
        <v>61.0</v>
      </c>
      <c r="J9" s="22" t="s">
        <v>225</v>
      </c>
      <c r="K9" s="24">
        <v>676397.0</v>
      </c>
      <c r="L9" s="24">
        <v>7934068.0</v>
      </c>
      <c r="M9" s="18">
        <v>7257671.0</v>
      </c>
      <c r="N9" s="23">
        <v>374.66</v>
      </c>
      <c r="O9" s="25">
        <v>3114.0</v>
      </c>
      <c r="P9" s="21">
        <v>2.0</v>
      </c>
      <c r="Q9" s="22">
        <f t="shared" si="1"/>
        <v>0.9147477687</v>
      </c>
    </row>
    <row r="10">
      <c r="A10" s="22" t="s">
        <v>20</v>
      </c>
      <c r="B10" s="22" t="s">
        <v>221</v>
      </c>
      <c r="C10" s="22" t="s">
        <v>13</v>
      </c>
      <c r="D10" s="22" t="s">
        <v>38</v>
      </c>
      <c r="E10" s="22" t="s">
        <v>38</v>
      </c>
      <c r="F10" s="22" t="s">
        <v>136</v>
      </c>
      <c r="G10" s="22" t="s">
        <v>15</v>
      </c>
      <c r="H10" s="22" t="s">
        <v>169</v>
      </c>
      <c r="I10" s="21">
        <v>47.0</v>
      </c>
      <c r="J10" s="22" t="s">
        <v>226</v>
      </c>
      <c r="K10" s="24">
        <v>596151.0</v>
      </c>
      <c r="L10" s="24">
        <v>7432256.0</v>
      </c>
      <c r="M10" s="18">
        <v>6836105.0</v>
      </c>
      <c r="N10" s="23">
        <v>319.63</v>
      </c>
      <c r="O10" s="25">
        <v>1479.0</v>
      </c>
      <c r="P10" s="21">
        <v>7.0</v>
      </c>
      <c r="Q10" s="22">
        <f t="shared" si="1"/>
        <v>0.9197886887</v>
      </c>
    </row>
    <row r="11">
      <c r="A11" s="22" t="s">
        <v>20</v>
      </c>
      <c r="B11" s="22" t="s">
        <v>130</v>
      </c>
      <c r="C11" s="22" t="s">
        <v>13</v>
      </c>
      <c r="D11" s="22" t="s">
        <v>38</v>
      </c>
      <c r="E11" s="22" t="s">
        <v>69</v>
      </c>
      <c r="F11" s="22" t="s">
        <v>136</v>
      </c>
      <c r="G11" s="22" t="s">
        <v>19</v>
      </c>
      <c r="H11" s="22" t="s">
        <v>63</v>
      </c>
      <c r="I11" s="21">
        <v>47.0</v>
      </c>
      <c r="J11" s="22" t="s">
        <v>227</v>
      </c>
      <c r="K11" s="24">
        <v>596151.0</v>
      </c>
      <c r="L11" s="24">
        <v>7432256.0</v>
      </c>
      <c r="M11" s="18">
        <v>6836105.0</v>
      </c>
      <c r="N11" s="23">
        <v>319.63</v>
      </c>
      <c r="O11" s="25">
        <v>1479.0</v>
      </c>
      <c r="P11" s="21">
        <v>7.0</v>
      </c>
      <c r="Q11" s="22">
        <f t="shared" si="1"/>
        <v>0.9197886887</v>
      </c>
    </row>
    <row r="12">
      <c r="A12" s="22" t="s">
        <v>20</v>
      </c>
      <c r="B12" s="22" t="s">
        <v>115</v>
      </c>
      <c r="C12" s="22" t="s">
        <v>17</v>
      </c>
      <c r="D12" s="22" t="s">
        <v>38</v>
      </c>
      <c r="E12" s="22" t="s">
        <v>38</v>
      </c>
      <c r="F12" s="22" t="s">
        <v>14</v>
      </c>
      <c r="G12" s="22" t="s">
        <v>21</v>
      </c>
      <c r="H12" s="22" t="s">
        <v>228</v>
      </c>
      <c r="I12" s="21">
        <v>47.0</v>
      </c>
      <c r="J12" s="22" t="s">
        <v>229</v>
      </c>
      <c r="K12" s="24">
        <v>596151.0</v>
      </c>
      <c r="L12" s="24">
        <v>7432256.0</v>
      </c>
      <c r="M12" s="18">
        <v>6836105.0</v>
      </c>
      <c r="N12" s="23">
        <v>319.63</v>
      </c>
      <c r="O12" s="25">
        <v>1479.0</v>
      </c>
      <c r="P12" s="21">
        <v>7.0</v>
      </c>
      <c r="Q12" s="22">
        <f t="shared" si="1"/>
        <v>0.9197886887</v>
      </c>
    </row>
    <row r="13">
      <c r="A13" s="22" t="s">
        <v>26</v>
      </c>
      <c r="B13" s="22" t="s">
        <v>115</v>
      </c>
      <c r="C13" s="22" t="s">
        <v>13</v>
      </c>
      <c r="D13" s="22" t="s">
        <v>38</v>
      </c>
      <c r="E13" s="22" t="s">
        <v>38</v>
      </c>
      <c r="F13" s="22" t="s">
        <v>14</v>
      </c>
      <c r="G13" s="22" t="s">
        <v>15</v>
      </c>
      <c r="H13" s="22" t="s">
        <v>215</v>
      </c>
      <c r="I13" s="21">
        <v>63.0</v>
      </c>
      <c r="J13" s="22" t="s">
        <v>230</v>
      </c>
      <c r="K13" s="24">
        <v>508771.0</v>
      </c>
      <c r="L13" s="24">
        <v>7068451.0</v>
      </c>
      <c r="M13" s="18">
        <v>6559680.0</v>
      </c>
      <c r="N13" s="23">
        <v>352.48</v>
      </c>
      <c r="O13" s="25">
        <v>1766.0</v>
      </c>
      <c r="P13" s="21">
        <v>3.0</v>
      </c>
      <c r="Q13" s="22">
        <f t="shared" si="1"/>
        <v>0.9280222781</v>
      </c>
    </row>
    <row r="14">
      <c r="A14" s="22" t="s">
        <v>26</v>
      </c>
      <c r="B14" s="22" t="s">
        <v>122</v>
      </c>
      <c r="C14" s="22" t="s">
        <v>13</v>
      </c>
      <c r="D14" s="22" t="s">
        <v>38</v>
      </c>
      <c r="E14" s="22" t="s">
        <v>38</v>
      </c>
      <c r="F14" s="22" t="s">
        <v>136</v>
      </c>
      <c r="G14" s="22" t="s">
        <v>15</v>
      </c>
      <c r="H14" s="22" t="s">
        <v>224</v>
      </c>
      <c r="I14" s="21">
        <v>63.0</v>
      </c>
      <c r="J14" s="22" t="s">
        <v>231</v>
      </c>
      <c r="K14" s="24">
        <v>508771.0</v>
      </c>
      <c r="L14" s="24">
        <v>7068451.0</v>
      </c>
      <c r="M14" s="18">
        <v>6559680.0</v>
      </c>
      <c r="N14" s="23">
        <v>352.48</v>
      </c>
      <c r="O14" s="25">
        <v>1766.0</v>
      </c>
      <c r="P14" s="21">
        <v>3.0</v>
      </c>
      <c r="Q14" s="22">
        <f t="shared" si="1"/>
        <v>0.9280222781</v>
      </c>
    </row>
    <row r="15">
      <c r="A15" s="22" t="s">
        <v>26</v>
      </c>
      <c r="B15" s="22" t="s">
        <v>152</v>
      </c>
      <c r="C15" s="22" t="s">
        <v>13</v>
      </c>
      <c r="D15" s="22" t="s">
        <v>38</v>
      </c>
      <c r="E15" s="22" t="s">
        <v>38</v>
      </c>
      <c r="F15" s="22" t="s">
        <v>136</v>
      </c>
      <c r="G15" s="22" t="s">
        <v>15</v>
      </c>
      <c r="H15" s="22" t="s">
        <v>232</v>
      </c>
      <c r="I15" s="21">
        <v>63.0</v>
      </c>
      <c r="J15" s="22" t="s">
        <v>233</v>
      </c>
      <c r="K15" s="24">
        <v>508771.0</v>
      </c>
      <c r="L15" s="24">
        <v>7068451.0</v>
      </c>
      <c r="M15" s="18">
        <v>6559680.0</v>
      </c>
      <c r="N15" s="23">
        <v>352.48</v>
      </c>
      <c r="O15" s="25">
        <v>1766.0</v>
      </c>
      <c r="P15" s="21">
        <v>3.0</v>
      </c>
      <c r="Q15" s="22">
        <f t="shared" si="1"/>
        <v>0.9280222781</v>
      </c>
    </row>
    <row r="16">
      <c r="A16" s="22" t="s">
        <v>12</v>
      </c>
      <c r="B16" s="22" t="s">
        <v>130</v>
      </c>
      <c r="C16" s="22" t="s">
        <v>13</v>
      </c>
      <c r="D16" s="22" t="s">
        <v>38</v>
      </c>
      <c r="E16" s="22" t="s">
        <v>38</v>
      </c>
      <c r="F16" s="22" t="s">
        <v>14</v>
      </c>
      <c r="G16" s="22" t="s">
        <v>15</v>
      </c>
      <c r="H16" s="22" t="s">
        <v>63</v>
      </c>
      <c r="I16" s="21">
        <v>57.0</v>
      </c>
      <c r="J16" s="22" t="s">
        <v>234</v>
      </c>
      <c r="K16" s="24">
        <v>643725.0</v>
      </c>
      <c r="L16" s="24">
        <v>6826899.0</v>
      </c>
      <c r="M16" s="18">
        <v>6183174.0</v>
      </c>
      <c r="N16" s="23">
        <v>338.5</v>
      </c>
      <c r="O16" s="25">
        <v>1632.0</v>
      </c>
      <c r="P16" s="21">
        <v>4.0</v>
      </c>
      <c r="Q16" s="22">
        <f t="shared" si="1"/>
        <v>0.9057075548</v>
      </c>
    </row>
    <row r="17">
      <c r="A17" s="22" t="s">
        <v>12</v>
      </c>
      <c r="B17" s="22" t="s">
        <v>115</v>
      </c>
      <c r="C17" s="22" t="s">
        <v>13</v>
      </c>
      <c r="D17" s="22" t="s">
        <v>38</v>
      </c>
      <c r="E17" s="22" t="s">
        <v>38</v>
      </c>
      <c r="F17" s="22" t="s">
        <v>14</v>
      </c>
      <c r="G17" s="22" t="s">
        <v>15</v>
      </c>
      <c r="H17" s="22" t="s">
        <v>172</v>
      </c>
      <c r="I17" s="21">
        <v>57.0</v>
      </c>
      <c r="J17" s="22" t="s">
        <v>235</v>
      </c>
      <c r="K17" s="24">
        <v>643725.0</v>
      </c>
      <c r="L17" s="24">
        <v>6826899.0</v>
      </c>
      <c r="M17" s="18">
        <v>6183174.0</v>
      </c>
      <c r="N17" s="23">
        <v>338.5</v>
      </c>
      <c r="O17" s="25">
        <v>1632.0</v>
      </c>
      <c r="P17" s="21">
        <v>4.0</v>
      </c>
      <c r="Q17" s="22">
        <f t="shared" si="1"/>
        <v>0.9057075548</v>
      </c>
    </row>
    <row r="18">
      <c r="A18" s="22" t="s">
        <v>12</v>
      </c>
      <c r="B18" s="22" t="s">
        <v>122</v>
      </c>
      <c r="C18" s="22" t="s">
        <v>13</v>
      </c>
      <c r="D18" s="22" t="s">
        <v>38</v>
      </c>
      <c r="E18" s="22" t="s">
        <v>38</v>
      </c>
      <c r="F18" s="22" t="s">
        <v>136</v>
      </c>
      <c r="G18" s="22" t="s">
        <v>15</v>
      </c>
      <c r="H18" s="22" t="s">
        <v>236</v>
      </c>
      <c r="I18" s="21">
        <v>57.0</v>
      </c>
      <c r="J18" s="22" t="s">
        <v>237</v>
      </c>
      <c r="K18" s="24">
        <v>643725.0</v>
      </c>
      <c r="L18" s="24">
        <v>6826899.0</v>
      </c>
      <c r="M18" s="18">
        <v>6183174.0</v>
      </c>
      <c r="N18" s="23">
        <v>338.5</v>
      </c>
      <c r="O18" s="25">
        <v>1632.0</v>
      </c>
      <c r="P18" s="21">
        <v>4.0</v>
      </c>
      <c r="Q18" s="22">
        <f t="shared" si="1"/>
        <v>0.9057075548</v>
      </c>
    </row>
    <row r="19">
      <c r="A19" s="22" t="s">
        <v>16</v>
      </c>
      <c r="B19" s="22" t="s">
        <v>130</v>
      </c>
      <c r="C19" s="22" t="s">
        <v>17</v>
      </c>
      <c r="D19" s="22" t="s">
        <v>38</v>
      </c>
      <c r="E19" s="22" t="s">
        <v>38</v>
      </c>
      <c r="F19" s="22" t="s">
        <v>136</v>
      </c>
      <c r="G19" s="22" t="s">
        <v>15</v>
      </c>
      <c r="H19" s="22" t="s">
        <v>51</v>
      </c>
      <c r="I19" s="21">
        <v>54.0</v>
      </c>
      <c r="J19" s="22" t="s">
        <v>238</v>
      </c>
      <c r="K19" s="24">
        <v>239956.0</v>
      </c>
      <c r="L19" s="24">
        <v>6348261.0</v>
      </c>
      <c r="M19" s="18">
        <v>6108305.0</v>
      </c>
      <c r="N19" s="23">
        <v>170.56</v>
      </c>
      <c r="O19" s="25">
        <v>3350.0</v>
      </c>
      <c r="P19" s="21">
        <v>12.0</v>
      </c>
      <c r="Q19" s="22">
        <f t="shared" si="1"/>
        <v>0.9622013021</v>
      </c>
    </row>
    <row r="20">
      <c r="A20" s="22" t="s">
        <v>16</v>
      </c>
      <c r="B20" s="22" t="s">
        <v>115</v>
      </c>
      <c r="C20" s="22" t="s">
        <v>17</v>
      </c>
      <c r="D20" s="22" t="s">
        <v>38</v>
      </c>
      <c r="E20" s="22" t="s">
        <v>38</v>
      </c>
      <c r="F20" s="22" t="s">
        <v>136</v>
      </c>
      <c r="G20" s="22" t="s">
        <v>15</v>
      </c>
      <c r="H20" s="22" t="s">
        <v>239</v>
      </c>
      <c r="I20" s="21">
        <v>54.0</v>
      </c>
      <c r="J20" s="22" t="s">
        <v>240</v>
      </c>
      <c r="K20" s="24">
        <v>239956.0</v>
      </c>
      <c r="L20" s="24">
        <v>6348261.0</v>
      </c>
      <c r="M20" s="18">
        <v>6108305.0</v>
      </c>
      <c r="N20" s="23">
        <v>170.56</v>
      </c>
      <c r="O20" s="25">
        <v>3350.0</v>
      </c>
      <c r="P20" s="21">
        <v>12.0</v>
      </c>
      <c r="Q20" s="22">
        <f t="shared" si="1"/>
        <v>0.9622013021</v>
      </c>
    </row>
    <row r="21">
      <c r="A21" s="22" t="s">
        <v>31</v>
      </c>
      <c r="B21" s="22" t="s">
        <v>130</v>
      </c>
      <c r="C21" s="22" t="s">
        <v>13</v>
      </c>
      <c r="D21" s="22" t="s">
        <v>38</v>
      </c>
      <c r="E21" s="22" t="s">
        <v>38</v>
      </c>
      <c r="F21" s="22" t="s">
        <v>136</v>
      </c>
      <c r="G21" s="22" t="s">
        <v>158</v>
      </c>
      <c r="H21" s="22" t="s">
        <v>193</v>
      </c>
      <c r="I21" s="21">
        <v>50.0</v>
      </c>
      <c r="J21" s="22" t="s">
        <v>241</v>
      </c>
      <c r="K21" s="24">
        <v>258280.0</v>
      </c>
      <c r="L21" s="24">
        <v>6239474.0</v>
      </c>
      <c r="M21" s="18">
        <v>5981194.0</v>
      </c>
      <c r="N21" s="23">
        <v>217.12</v>
      </c>
      <c r="O21" s="22">
        <v>441.0</v>
      </c>
      <c r="P21" s="21">
        <v>11.0</v>
      </c>
      <c r="Q21" s="22">
        <f t="shared" si="1"/>
        <v>0.958605485</v>
      </c>
    </row>
    <row r="22">
      <c r="A22" s="22" t="s">
        <v>31</v>
      </c>
      <c r="B22" s="22" t="s">
        <v>221</v>
      </c>
      <c r="C22" s="22" t="s">
        <v>13</v>
      </c>
      <c r="D22" s="22" t="s">
        <v>38</v>
      </c>
      <c r="E22" s="22" t="s">
        <v>38</v>
      </c>
      <c r="F22" s="22" t="s">
        <v>14</v>
      </c>
      <c r="G22" s="22" t="s">
        <v>137</v>
      </c>
      <c r="H22" s="22" t="s">
        <v>224</v>
      </c>
      <c r="I22" s="21">
        <v>50.0</v>
      </c>
      <c r="J22" s="22" t="s">
        <v>242</v>
      </c>
      <c r="K22" s="24">
        <v>258280.0</v>
      </c>
      <c r="L22" s="24">
        <v>6239474.0</v>
      </c>
      <c r="M22" s="18">
        <v>5981194.0</v>
      </c>
      <c r="N22" s="23">
        <v>217.12</v>
      </c>
      <c r="O22" s="22">
        <v>441.0</v>
      </c>
      <c r="P22" s="21">
        <v>11.0</v>
      </c>
      <c r="Q22" s="22">
        <f t="shared" si="1"/>
        <v>0.958605485</v>
      </c>
    </row>
    <row r="23">
      <c r="A23" s="22" t="s">
        <v>31</v>
      </c>
      <c r="B23" s="22" t="s">
        <v>115</v>
      </c>
      <c r="C23" s="22" t="s">
        <v>13</v>
      </c>
      <c r="D23" s="22" t="s">
        <v>38</v>
      </c>
      <c r="E23" s="22" t="s">
        <v>38</v>
      </c>
      <c r="F23" s="22" t="s">
        <v>136</v>
      </c>
      <c r="G23" s="22" t="s">
        <v>158</v>
      </c>
      <c r="H23" s="22" t="s">
        <v>243</v>
      </c>
      <c r="I23" s="21">
        <v>50.0</v>
      </c>
      <c r="J23" s="22" t="s">
        <v>244</v>
      </c>
      <c r="K23" s="24">
        <v>258280.0</v>
      </c>
      <c r="L23" s="24">
        <v>6239474.0</v>
      </c>
      <c r="M23" s="18">
        <v>5981194.0</v>
      </c>
      <c r="N23" s="23">
        <v>217.12</v>
      </c>
      <c r="O23" s="22">
        <v>441.0</v>
      </c>
      <c r="P23" s="21">
        <v>11.0</v>
      </c>
      <c r="Q23" s="22">
        <f t="shared" si="1"/>
        <v>0.958605485</v>
      </c>
    </row>
    <row r="24">
      <c r="A24" s="22" t="s">
        <v>28</v>
      </c>
      <c r="B24" s="22" t="s">
        <v>130</v>
      </c>
      <c r="C24" s="22" t="s">
        <v>13</v>
      </c>
      <c r="D24" s="22" t="s">
        <v>38</v>
      </c>
      <c r="E24" s="22" t="s">
        <v>69</v>
      </c>
      <c r="F24" s="22" t="s">
        <v>136</v>
      </c>
      <c r="G24" s="22" t="s">
        <v>19</v>
      </c>
      <c r="H24" s="22" t="s">
        <v>165</v>
      </c>
      <c r="I24" s="21">
        <v>48.0</v>
      </c>
      <c r="J24" s="22" t="s">
        <v>245</v>
      </c>
      <c r="K24" s="24">
        <v>-238052.0</v>
      </c>
      <c r="L24" s="24">
        <v>5756268.0</v>
      </c>
      <c r="M24" s="18">
        <v>5994320.0</v>
      </c>
      <c r="N24" s="23">
        <v>126.19</v>
      </c>
      <c r="O24" s="22">
        <v>289.0</v>
      </c>
      <c r="P24" s="21">
        <v>14.0</v>
      </c>
      <c r="Q24" s="22">
        <f t="shared" si="1"/>
        <v>1.041355267</v>
      </c>
    </row>
    <row r="25">
      <c r="A25" s="22" t="s">
        <v>28</v>
      </c>
      <c r="B25" s="22" t="s">
        <v>115</v>
      </c>
      <c r="C25" s="22" t="s">
        <v>13</v>
      </c>
      <c r="D25" s="22" t="s">
        <v>38</v>
      </c>
      <c r="E25" s="22" t="s">
        <v>38</v>
      </c>
      <c r="F25" s="22" t="s">
        <v>136</v>
      </c>
      <c r="G25" s="22" t="s">
        <v>19</v>
      </c>
      <c r="H25" s="22" t="s">
        <v>206</v>
      </c>
      <c r="I25" s="21">
        <v>48.0</v>
      </c>
      <c r="J25" s="22" t="s">
        <v>246</v>
      </c>
      <c r="K25" s="24">
        <v>-238052.0</v>
      </c>
      <c r="L25" s="24">
        <v>5756268.0</v>
      </c>
      <c r="M25" s="18">
        <v>5994320.0</v>
      </c>
      <c r="N25" s="23">
        <v>126.19</v>
      </c>
      <c r="O25" s="22">
        <v>289.0</v>
      </c>
      <c r="P25" s="21">
        <v>14.0</v>
      </c>
      <c r="Q25" s="22">
        <f t="shared" si="1"/>
        <v>1.041355267</v>
      </c>
    </row>
    <row r="26">
      <c r="A26" s="22" t="s">
        <v>27</v>
      </c>
      <c r="B26" s="22" t="s">
        <v>130</v>
      </c>
      <c r="C26" s="22" t="s">
        <v>13</v>
      </c>
      <c r="D26" s="22" t="s">
        <v>38</v>
      </c>
      <c r="E26" s="22" t="s">
        <v>38</v>
      </c>
      <c r="F26" s="22" t="s">
        <v>14</v>
      </c>
      <c r="G26" s="22" t="s">
        <v>15</v>
      </c>
      <c r="H26" s="22" t="s">
        <v>184</v>
      </c>
      <c r="I26" s="21">
        <v>40.0</v>
      </c>
      <c r="J26" s="22" t="s">
        <v>242</v>
      </c>
      <c r="K26" s="24">
        <v>482995.0</v>
      </c>
      <c r="L26" s="24">
        <v>5600744.0</v>
      </c>
      <c r="M26" s="18">
        <v>5117749.0</v>
      </c>
      <c r="N26" s="23">
        <v>296.8</v>
      </c>
      <c r="O26" s="22">
        <v>336.0</v>
      </c>
      <c r="P26" s="21">
        <v>9.0</v>
      </c>
      <c r="Q26" s="22">
        <f t="shared" si="1"/>
        <v>0.9137623501</v>
      </c>
    </row>
    <row r="27">
      <c r="A27" s="22" t="s">
        <v>27</v>
      </c>
      <c r="B27" s="22" t="s">
        <v>115</v>
      </c>
      <c r="C27" s="22" t="s">
        <v>13</v>
      </c>
      <c r="D27" s="22" t="s">
        <v>38</v>
      </c>
      <c r="E27" s="22" t="s">
        <v>38</v>
      </c>
      <c r="F27" s="22" t="s">
        <v>14</v>
      </c>
      <c r="G27" s="22" t="s">
        <v>15</v>
      </c>
      <c r="H27" s="22" t="s">
        <v>66</v>
      </c>
      <c r="I27" s="21">
        <v>40.0</v>
      </c>
      <c r="J27" s="22" t="s">
        <v>247</v>
      </c>
      <c r="K27" s="24">
        <v>482995.0</v>
      </c>
      <c r="L27" s="24">
        <v>5600744.0</v>
      </c>
      <c r="M27" s="18">
        <v>5117749.0</v>
      </c>
      <c r="N27" s="23">
        <v>296.8</v>
      </c>
      <c r="O27" s="22">
        <v>336.0</v>
      </c>
      <c r="P27" s="21">
        <v>9.0</v>
      </c>
      <c r="Q27" s="22">
        <f t="shared" si="1"/>
        <v>0.9137623501</v>
      </c>
    </row>
    <row r="28">
      <c r="A28" s="22" t="s">
        <v>24</v>
      </c>
      <c r="B28" s="22" t="s">
        <v>130</v>
      </c>
      <c r="C28" s="22" t="s">
        <v>17</v>
      </c>
      <c r="D28" s="22" t="s">
        <v>38</v>
      </c>
      <c r="E28" s="22" t="s">
        <v>38</v>
      </c>
      <c r="F28" s="22" t="s">
        <v>14</v>
      </c>
      <c r="G28" s="22" t="s">
        <v>21</v>
      </c>
      <c r="H28" s="22" t="s">
        <v>248</v>
      </c>
      <c r="I28" s="21">
        <v>49.0</v>
      </c>
      <c r="J28" s="22" t="s">
        <v>249</v>
      </c>
      <c r="K28" s="24">
        <v>330125.0</v>
      </c>
      <c r="L28" s="24">
        <v>4858530.0</v>
      </c>
      <c r="M28" s="18">
        <v>4528405.0</v>
      </c>
      <c r="N28" s="23">
        <v>259.15</v>
      </c>
      <c r="O28" s="25">
        <v>3263.0</v>
      </c>
      <c r="P28" s="21">
        <v>10.0</v>
      </c>
      <c r="Q28" s="22">
        <f t="shared" si="1"/>
        <v>0.9320524932</v>
      </c>
    </row>
    <row r="29">
      <c r="A29" s="22" t="s">
        <v>24</v>
      </c>
      <c r="B29" s="22" t="s">
        <v>115</v>
      </c>
      <c r="C29" s="22" t="s">
        <v>17</v>
      </c>
      <c r="D29" s="22" t="s">
        <v>38</v>
      </c>
      <c r="E29" s="22" t="s">
        <v>38</v>
      </c>
      <c r="F29" s="22" t="s">
        <v>14</v>
      </c>
      <c r="G29" s="22" t="s">
        <v>21</v>
      </c>
      <c r="H29" s="22" t="s">
        <v>199</v>
      </c>
      <c r="I29" s="21">
        <v>49.0</v>
      </c>
      <c r="J29" s="22" t="s">
        <v>250</v>
      </c>
      <c r="K29" s="24">
        <v>330125.0</v>
      </c>
      <c r="L29" s="24">
        <v>4858530.0</v>
      </c>
      <c r="M29" s="18">
        <v>4528405.0</v>
      </c>
      <c r="N29" s="23">
        <v>259.15</v>
      </c>
      <c r="O29" s="25">
        <v>3263.0</v>
      </c>
      <c r="P29" s="21">
        <v>10.0</v>
      </c>
      <c r="Q29" s="22">
        <f t="shared" si="1"/>
        <v>0.9320524932</v>
      </c>
    </row>
    <row r="30">
      <c r="A30" s="22" t="s">
        <v>30</v>
      </c>
      <c r="B30" s="22" t="s">
        <v>130</v>
      </c>
      <c r="C30" s="22" t="s">
        <v>13</v>
      </c>
      <c r="D30" s="22" t="s">
        <v>38</v>
      </c>
      <c r="E30" s="22" t="s">
        <v>38</v>
      </c>
      <c r="F30" s="22" t="s">
        <v>136</v>
      </c>
      <c r="G30" s="22" t="s">
        <v>137</v>
      </c>
      <c r="H30" s="22" t="s">
        <v>206</v>
      </c>
      <c r="I30" s="21">
        <v>43.0</v>
      </c>
      <c r="J30" s="22" t="s">
        <v>251</v>
      </c>
      <c r="K30" s="24">
        <v>-126194.0</v>
      </c>
      <c r="L30" s="24">
        <v>3921585.0</v>
      </c>
      <c r="M30" s="18">
        <v>4047779.0</v>
      </c>
      <c r="N30" s="23">
        <v>155.43</v>
      </c>
      <c r="O30" s="25">
        <v>4590.0</v>
      </c>
      <c r="P30" s="21">
        <v>13.0</v>
      </c>
      <c r="Q30" s="22">
        <f t="shared" si="1"/>
        <v>1.032179336</v>
      </c>
    </row>
    <row r="31">
      <c r="A31" s="22" t="s">
        <v>30</v>
      </c>
      <c r="B31" s="22" t="s">
        <v>115</v>
      </c>
      <c r="C31" s="22" t="s">
        <v>13</v>
      </c>
      <c r="D31" s="22" t="s">
        <v>38</v>
      </c>
      <c r="E31" s="22" t="s">
        <v>38</v>
      </c>
      <c r="F31" s="22" t="s">
        <v>136</v>
      </c>
      <c r="G31" s="22" t="s">
        <v>137</v>
      </c>
      <c r="H31" s="22" t="s">
        <v>252</v>
      </c>
      <c r="I31" s="21">
        <v>43.0</v>
      </c>
      <c r="J31" s="22" t="s">
        <v>253</v>
      </c>
      <c r="K31" s="24">
        <v>-126194.0</v>
      </c>
      <c r="L31" s="24">
        <v>3921585.0</v>
      </c>
      <c r="M31" s="18">
        <v>4047779.0</v>
      </c>
      <c r="N31" s="23">
        <v>155.43</v>
      </c>
      <c r="O31" s="25">
        <v>4590.0</v>
      </c>
      <c r="P31" s="21">
        <v>13.0</v>
      </c>
      <c r="Q31" s="22">
        <f t="shared" si="1"/>
        <v>1.032179336</v>
      </c>
    </row>
    <row r="32">
      <c r="A32" s="22" t="s">
        <v>33</v>
      </c>
      <c r="B32" s="22" t="s">
        <v>130</v>
      </c>
      <c r="C32" s="22" t="s">
        <v>13</v>
      </c>
      <c r="D32" s="22" t="s">
        <v>38</v>
      </c>
      <c r="E32" s="22" t="s">
        <v>38</v>
      </c>
      <c r="F32" s="22" t="s">
        <v>136</v>
      </c>
      <c r="G32" s="22" t="s">
        <v>137</v>
      </c>
      <c r="H32" s="22" t="s">
        <v>254</v>
      </c>
      <c r="I32" s="21">
        <v>46.0</v>
      </c>
      <c r="J32" s="22" t="s">
        <v>255</v>
      </c>
      <c r="K32" s="24">
        <v>93789.0</v>
      </c>
      <c r="L32" s="24">
        <v>3653634.0</v>
      </c>
      <c r="M32" s="18">
        <v>3559845.0</v>
      </c>
      <c r="N32" s="23">
        <v>302.39</v>
      </c>
      <c r="O32" s="25">
        <v>5034.0</v>
      </c>
      <c r="P32" s="21">
        <v>8.0</v>
      </c>
      <c r="Q32" s="22">
        <f t="shared" si="1"/>
        <v>0.9743299411</v>
      </c>
    </row>
    <row r="33">
      <c r="A33" s="22" t="s">
        <v>33</v>
      </c>
      <c r="B33" s="22" t="s">
        <v>115</v>
      </c>
      <c r="C33" s="22" t="s">
        <v>13</v>
      </c>
      <c r="D33" s="22" t="s">
        <v>38</v>
      </c>
      <c r="E33" s="22" t="s">
        <v>38</v>
      </c>
      <c r="F33" s="22" t="s">
        <v>136</v>
      </c>
      <c r="G33" s="22" t="s">
        <v>15</v>
      </c>
      <c r="H33" s="22" t="s">
        <v>243</v>
      </c>
      <c r="I33" s="21">
        <v>46.0</v>
      </c>
      <c r="J33" s="22" t="s">
        <v>256</v>
      </c>
      <c r="K33" s="24">
        <v>93789.0</v>
      </c>
      <c r="L33" s="24">
        <v>3653634.0</v>
      </c>
      <c r="M33" s="18">
        <v>3559845.0</v>
      </c>
      <c r="N33" s="23">
        <v>302.39</v>
      </c>
      <c r="O33" s="25">
        <v>5034.0</v>
      </c>
      <c r="P33" s="21">
        <v>8.0</v>
      </c>
      <c r="Q33" s="22">
        <f t="shared" si="1"/>
        <v>0.9743299411</v>
      </c>
    </row>
    <row r="34">
      <c r="A34" s="22" t="s">
        <v>32</v>
      </c>
      <c r="B34" s="22" t="s">
        <v>115</v>
      </c>
      <c r="C34" s="22" t="s">
        <v>17</v>
      </c>
      <c r="D34" s="22" t="s">
        <v>38</v>
      </c>
      <c r="E34" s="22" t="s">
        <v>38</v>
      </c>
      <c r="F34" s="22" t="s">
        <v>14</v>
      </c>
      <c r="G34" s="22" t="s">
        <v>15</v>
      </c>
      <c r="H34" s="22" t="s">
        <v>156</v>
      </c>
      <c r="I34" s="21">
        <v>52.0</v>
      </c>
      <c r="J34" s="22" t="s">
        <v>257</v>
      </c>
      <c r="K34" s="24">
        <v>-273895.0</v>
      </c>
      <c r="L34" s="24">
        <v>2723802.0</v>
      </c>
      <c r="M34" s="18">
        <v>2997697.0</v>
      </c>
      <c r="N34" s="23">
        <v>98.75</v>
      </c>
      <c r="O34" s="25">
        <v>2059.0</v>
      </c>
      <c r="P34" s="21">
        <v>15.0</v>
      </c>
      <c r="Q34" s="22">
        <f t="shared" si="1"/>
        <v>1.100556134</v>
      </c>
    </row>
    <row r="35">
      <c r="A35" s="22" t="s">
        <v>32</v>
      </c>
      <c r="B35" s="22" t="s">
        <v>130</v>
      </c>
      <c r="C35" s="22" t="s">
        <v>17</v>
      </c>
      <c r="D35" s="22" t="s">
        <v>38</v>
      </c>
      <c r="E35" s="22" t="s">
        <v>38</v>
      </c>
      <c r="F35" s="22" t="s">
        <v>14</v>
      </c>
      <c r="G35" s="22" t="s">
        <v>15</v>
      </c>
      <c r="H35" s="22" t="s">
        <v>192</v>
      </c>
      <c r="I35" s="21">
        <v>52.0</v>
      </c>
      <c r="J35" s="22" t="s">
        <v>250</v>
      </c>
      <c r="K35" s="24">
        <v>-273895.0</v>
      </c>
      <c r="L35" s="24">
        <v>2723802.0</v>
      </c>
      <c r="M35" s="18">
        <v>2997697.0</v>
      </c>
      <c r="N35" s="23">
        <v>98.75</v>
      </c>
      <c r="O35" s="25">
        <v>2059.0</v>
      </c>
      <c r="P35" s="21">
        <v>15.0</v>
      </c>
      <c r="Q35" s="22">
        <f t="shared" si="1"/>
        <v>1.100556134</v>
      </c>
    </row>
    <row r="36">
      <c r="A36" s="22" t="s">
        <v>32</v>
      </c>
      <c r="B36" s="22" t="s">
        <v>115</v>
      </c>
      <c r="C36" s="22" t="s">
        <v>13</v>
      </c>
      <c r="D36" s="22" t="s">
        <v>38</v>
      </c>
      <c r="E36" s="22" t="s">
        <v>38</v>
      </c>
      <c r="F36" s="22" t="s">
        <v>14</v>
      </c>
      <c r="G36" s="22" t="s">
        <v>15</v>
      </c>
      <c r="H36" s="22" t="s">
        <v>63</v>
      </c>
      <c r="I36" s="21">
        <v>52.0</v>
      </c>
      <c r="J36" s="22" t="s">
        <v>258</v>
      </c>
      <c r="K36" s="24">
        <v>-273895.0</v>
      </c>
      <c r="L36" s="24">
        <v>2723802.0</v>
      </c>
      <c r="M36" s="18">
        <v>2997697.0</v>
      </c>
      <c r="N36" s="23">
        <v>98.75</v>
      </c>
      <c r="O36" s="25">
        <v>2059.0</v>
      </c>
      <c r="P36" s="21">
        <v>15.0</v>
      </c>
      <c r="Q36" s="22">
        <f t="shared" si="1"/>
        <v>1.100556134</v>
      </c>
    </row>
  </sheetData>
  <autoFilter ref="$A$1:$Q$36">
    <sortState ref="A1:Q36">
      <sortCondition descending="1" ref="L1:L36"/>
      <sortCondition ref="Q1:Q36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112</v>
      </c>
      <c r="C1" s="1" t="s">
        <v>1</v>
      </c>
      <c r="D1" s="1" t="s">
        <v>113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151</v>
      </c>
      <c r="J1" s="1" t="s">
        <v>5</v>
      </c>
      <c r="K1" s="2" t="s">
        <v>7</v>
      </c>
      <c r="L1" s="1" t="s">
        <v>8</v>
      </c>
      <c r="M1" s="1" t="s">
        <v>35</v>
      </c>
      <c r="N1" s="1" t="s">
        <v>6</v>
      </c>
      <c r="O1" s="1" t="s">
        <v>114</v>
      </c>
      <c r="P1" s="2" t="s">
        <v>11</v>
      </c>
      <c r="Q1" s="1" t="s">
        <v>37</v>
      </c>
    </row>
    <row r="2">
      <c r="A2" s="22" t="s">
        <v>29</v>
      </c>
      <c r="B2" s="22" t="s">
        <v>115</v>
      </c>
      <c r="C2" s="22" t="s">
        <v>13</v>
      </c>
      <c r="D2" s="22" t="s">
        <v>38</v>
      </c>
      <c r="E2" s="22" t="s">
        <v>38</v>
      </c>
      <c r="F2" s="22" t="s">
        <v>14</v>
      </c>
      <c r="G2" s="22" t="s">
        <v>19</v>
      </c>
      <c r="H2" s="22" t="s">
        <v>259</v>
      </c>
      <c r="I2" s="21">
        <v>55.0</v>
      </c>
      <c r="J2" s="22" t="s">
        <v>213</v>
      </c>
      <c r="K2" s="24">
        <v>1176606.0</v>
      </c>
      <c r="L2" s="24">
        <v>1.0344017E7</v>
      </c>
      <c r="M2" s="18">
        <v>9167411.0</v>
      </c>
      <c r="N2" s="23">
        <v>571.8</v>
      </c>
      <c r="O2" s="25">
        <v>843.0</v>
      </c>
      <c r="P2" s="21">
        <v>1.0</v>
      </c>
      <c r="Q2" s="22">
        <f t="shared" ref="Q2:Q41" si="1">M2/L2</f>
        <v>0.8862525071</v>
      </c>
    </row>
    <row r="3">
      <c r="A3" s="22" t="s">
        <v>29</v>
      </c>
      <c r="B3" s="22" t="s">
        <v>152</v>
      </c>
      <c r="C3" s="22" t="s">
        <v>13</v>
      </c>
      <c r="D3" s="22" t="s">
        <v>38</v>
      </c>
      <c r="E3" s="22" t="s">
        <v>38</v>
      </c>
      <c r="F3" s="22" t="s">
        <v>14</v>
      </c>
      <c r="G3" s="22" t="s">
        <v>19</v>
      </c>
      <c r="H3" s="22" t="s">
        <v>165</v>
      </c>
      <c r="I3" s="21">
        <v>55.0</v>
      </c>
      <c r="J3" s="22" t="s">
        <v>214</v>
      </c>
      <c r="K3" s="24">
        <v>1176606.0</v>
      </c>
      <c r="L3" s="24">
        <v>1.0344017E7</v>
      </c>
      <c r="M3" s="18">
        <v>9167411.0</v>
      </c>
      <c r="N3" s="23">
        <v>571.8</v>
      </c>
      <c r="O3" s="25">
        <v>843.0</v>
      </c>
      <c r="P3" s="21">
        <v>1.0</v>
      </c>
      <c r="Q3" s="22">
        <f t="shared" si="1"/>
        <v>0.8862525071</v>
      </c>
    </row>
    <row r="4">
      <c r="A4" s="22" t="s">
        <v>29</v>
      </c>
      <c r="B4" s="22" t="s">
        <v>122</v>
      </c>
      <c r="C4" s="22" t="s">
        <v>13</v>
      </c>
      <c r="D4" s="22" t="s">
        <v>38</v>
      </c>
      <c r="E4" s="22" t="s">
        <v>69</v>
      </c>
      <c r="F4" s="22" t="s">
        <v>14</v>
      </c>
      <c r="G4" s="22" t="s">
        <v>19</v>
      </c>
      <c r="H4" s="22" t="s">
        <v>201</v>
      </c>
      <c r="I4" s="21">
        <v>55.0</v>
      </c>
      <c r="J4" s="22" t="s">
        <v>260</v>
      </c>
      <c r="K4" s="24">
        <v>1176606.0</v>
      </c>
      <c r="L4" s="24">
        <v>1.0344017E7</v>
      </c>
      <c r="M4" s="18">
        <v>9167411.0</v>
      </c>
      <c r="N4" s="23">
        <v>571.8</v>
      </c>
      <c r="O4" s="25">
        <v>843.0</v>
      </c>
      <c r="P4" s="21">
        <v>1.0</v>
      </c>
      <c r="Q4" s="22">
        <f t="shared" si="1"/>
        <v>0.8862525071</v>
      </c>
    </row>
    <row r="5">
      <c r="A5" s="22" t="s">
        <v>25</v>
      </c>
      <c r="B5" s="22" t="s">
        <v>115</v>
      </c>
      <c r="C5" s="22" t="s">
        <v>17</v>
      </c>
      <c r="D5" s="22" t="s">
        <v>38</v>
      </c>
      <c r="E5" s="22" t="s">
        <v>38</v>
      </c>
      <c r="F5" s="22" t="s">
        <v>18</v>
      </c>
      <c r="G5" s="22" t="s">
        <v>21</v>
      </c>
      <c r="H5" s="22" t="s">
        <v>261</v>
      </c>
      <c r="I5" s="21">
        <v>55.0</v>
      </c>
      <c r="J5" s="22" t="s">
        <v>262</v>
      </c>
      <c r="K5" s="24">
        <v>952841.0</v>
      </c>
      <c r="L5" s="24">
        <v>1.0142931E7</v>
      </c>
      <c r="M5" s="18">
        <v>9190090.0</v>
      </c>
      <c r="N5" s="23">
        <v>430.19</v>
      </c>
      <c r="O5" s="25">
        <v>2943.0</v>
      </c>
      <c r="P5" s="21">
        <v>3.0</v>
      </c>
      <c r="Q5" s="22">
        <f t="shared" si="1"/>
        <v>0.9060586136</v>
      </c>
    </row>
    <row r="6">
      <c r="A6" s="22" t="s">
        <v>25</v>
      </c>
      <c r="B6" s="22" t="s">
        <v>152</v>
      </c>
      <c r="C6" s="22" t="s">
        <v>17</v>
      </c>
      <c r="D6" s="22" t="s">
        <v>38</v>
      </c>
      <c r="E6" s="22" t="s">
        <v>69</v>
      </c>
      <c r="F6" s="22" t="s">
        <v>18</v>
      </c>
      <c r="G6" s="22" t="s">
        <v>21</v>
      </c>
      <c r="H6" s="22" t="s">
        <v>81</v>
      </c>
      <c r="I6" s="21">
        <v>55.0</v>
      </c>
      <c r="J6" s="22" t="s">
        <v>263</v>
      </c>
      <c r="K6" s="24">
        <v>952841.0</v>
      </c>
      <c r="L6" s="24">
        <v>1.0142931E7</v>
      </c>
      <c r="M6" s="18">
        <v>9190090.0</v>
      </c>
      <c r="N6" s="23">
        <v>430.19</v>
      </c>
      <c r="O6" s="25">
        <v>2943.0</v>
      </c>
      <c r="P6" s="21">
        <v>3.0</v>
      </c>
      <c r="Q6" s="22">
        <f t="shared" si="1"/>
        <v>0.9060586136</v>
      </c>
    </row>
    <row r="7">
      <c r="A7" s="22" t="s">
        <v>25</v>
      </c>
      <c r="B7" s="22" t="s">
        <v>221</v>
      </c>
      <c r="C7" s="22" t="s">
        <v>17</v>
      </c>
      <c r="D7" s="22" t="s">
        <v>38</v>
      </c>
      <c r="E7" s="22" t="s">
        <v>69</v>
      </c>
      <c r="F7" s="22" t="s">
        <v>18</v>
      </c>
      <c r="G7" s="22" t="s">
        <v>21</v>
      </c>
      <c r="H7" s="22" t="s">
        <v>264</v>
      </c>
      <c r="I7" s="21">
        <v>55.0</v>
      </c>
      <c r="J7" s="22" t="s">
        <v>265</v>
      </c>
      <c r="K7" s="24">
        <v>952841.0</v>
      </c>
      <c r="L7" s="24">
        <v>1.0142931E7</v>
      </c>
      <c r="M7" s="18">
        <v>9190090.0</v>
      </c>
      <c r="N7" s="23">
        <v>430.19</v>
      </c>
      <c r="O7" s="25">
        <v>2943.0</v>
      </c>
      <c r="P7" s="21">
        <v>3.0</v>
      </c>
      <c r="Q7" s="22">
        <f t="shared" si="1"/>
        <v>0.9060586136</v>
      </c>
    </row>
    <row r="8">
      <c r="A8" s="22" t="s">
        <v>30</v>
      </c>
      <c r="B8" s="22" t="s">
        <v>130</v>
      </c>
      <c r="C8" s="22" t="s">
        <v>13</v>
      </c>
      <c r="D8" s="22" t="s">
        <v>38</v>
      </c>
      <c r="E8" s="22" t="s">
        <v>38</v>
      </c>
      <c r="F8" s="22" t="s">
        <v>136</v>
      </c>
      <c r="G8" s="22" t="s">
        <v>137</v>
      </c>
      <c r="H8" s="22" t="s">
        <v>206</v>
      </c>
      <c r="I8" s="21">
        <v>44.0</v>
      </c>
      <c r="J8" s="22" t="s">
        <v>266</v>
      </c>
      <c r="K8" s="24">
        <v>170174.0</v>
      </c>
      <c r="L8" s="24">
        <v>8723715.0</v>
      </c>
      <c r="M8" s="18">
        <v>8553541.0</v>
      </c>
      <c r="N8" s="23">
        <v>172.45</v>
      </c>
      <c r="O8" s="22">
        <v>327.0</v>
      </c>
      <c r="P8" s="21">
        <v>13.0</v>
      </c>
      <c r="Q8" s="22">
        <f t="shared" si="1"/>
        <v>0.9804929437</v>
      </c>
    </row>
    <row r="9">
      <c r="A9" s="22" t="s">
        <v>30</v>
      </c>
      <c r="B9" s="22" t="s">
        <v>115</v>
      </c>
      <c r="C9" s="22" t="s">
        <v>13</v>
      </c>
      <c r="D9" s="22" t="s">
        <v>38</v>
      </c>
      <c r="E9" s="22" t="s">
        <v>38</v>
      </c>
      <c r="F9" s="22" t="s">
        <v>136</v>
      </c>
      <c r="G9" s="22" t="s">
        <v>137</v>
      </c>
      <c r="H9" s="22" t="s">
        <v>212</v>
      </c>
      <c r="I9" s="21">
        <v>44.0</v>
      </c>
      <c r="J9" s="22" t="s">
        <v>253</v>
      </c>
      <c r="K9" s="24">
        <v>170174.0</v>
      </c>
      <c r="L9" s="24">
        <v>8723715.0</v>
      </c>
      <c r="M9" s="18">
        <v>8553541.0</v>
      </c>
      <c r="N9" s="23">
        <v>172.45</v>
      </c>
      <c r="O9" s="22">
        <v>327.0</v>
      </c>
      <c r="P9" s="21">
        <v>13.0</v>
      </c>
      <c r="Q9" s="22">
        <f t="shared" si="1"/>
        <v>0.9804929437</v>
      </c>
    </row>
    <row r="10">
      <c r="A10" s="22" t="s">
        <v>22</v>
      </c>
      <c r="B10" s="22" t="s">
        <v>115</v>
      </c>
      <c r="C10" s="22" t="s">
        <v>13</v>
      </c>
      <c r="D10" s="22" t="s">
        <v>38</v>
      </c>
      <c r="E10" s="22" t="s">
        <v>38</v>
      </c>
      <c r="F10" s="22" t="s">
        <v>14</v>
      </c>
      <c r="G10" s="22" t="s">
        <v>15</v>
      </c>
      <c r="H10" s="22" t="s">
        <v>165</v>
      </c>
      <c r="I10" s="21">
        <v>53.0</v>
      </c>
      <c r="J10" s="22" t="s">
        <v>220</v>
      </c>
      <c r="K10" s="24">
        <v>1033789.0</v>
      </c>
      <c r="L10" s="24">
        <v>8340491.0</v>
      </c>
      <c r="M10" s="18">
        <v>7306702.0</v>
      </c>
      <c r="N10" s="23">
        <v>426.73</v>
      </c>
      <c r="O10" s="25">
        <v>1571.0</v>
      </c>
      <c r="P10" s="21">
        <v>4.0</v>
      </c>
      <c r="Q10" s="22">
        <f t="shared" si="1"/>
        <v>0.8760517816</v>
      </c>
    </row>
    <row r="11">
      <c r="A11" s="22" t="s">
        <v>22</v>
      </c>
      <c r="B11" s="22" t="s">
        <v>130</v>
      </c>
      <c r="C11" s="22" t="s">
        <v>13</v>
      </c>
      <c r="D11" s="22" t="s">
        <v>69</v>
      </c>
      <c r="E11" s="22" t="s">
        <v>38</v>
      </c>
      <c r="F11" s="22" t="s">
        <v>14</v>
      </c>
      <c r="G11" s="22" t="s">
        <v>15</v>
      </c>
      <c r="H11" s="22" t="s">
        <v>190</v>
      </c>
      <c r="I11" s="21">
        <v>53.0</v>
      </c>
      <c r="J11" s="22" t="s">
        <v>267</v>
      </c>
      <c r="K11" s="24">
        <v>1033789.0</v>
      </c>
      <c r="L11" s="24">
        <v>8340491.0</v>
      </c>
      <c r="M11" s="18">
        <v>7306702.0</v>
      </c>
      <c r="N11" s="23">
        <v>426.73</v>
      </c>
      <c r="O11" s="25">
        <v>1571.0</v>
      </c>
      <c r="P11" s="21">
        <v>4.0</v>
      </c>
      <c r="Q11" s="22">
        <f t="shared" si="1"/>
        <v>0.8760517816</v>
      </c>
    </row>
    <row r="12">
      <c r="A12" s="22" t="s">
        <v>26</v>
      </c>
      <c r="B12" s="22" t="s">
        <v>115</v>
      </c>
      <c r="C12" s="22" t="s">
        <v>13</v>
      </c>
      <c r="D12" s="22" t="s">
        <v>38</v>
      </c>
      <c r="E12" s="22" t="s">
        <v>38</v>
      </c>
      <c r="F12" s="22" t="s">
        <v>136</v>
      </c>
      <c r="G12" s="22" t="s">
        <v>15</v>
      </c>
      <c r="H12" s="22" t="s">
        <v>268</v>
      </c>
      <c r="I12" s="21">
        <v>66.0</v>
      </c>
      <c r="J12" s="22" t="s">
        <v>246</v>
      </c>
      <c r="K12" s="24">
        <v>595428.0</v>
      </c>
      <c r="L12" s="24">
        <v>8293981.0</v>
      </c>
      <c r="M12" s="18">
        <v>7698553.0</v>
      </c>
      <c r="N12" s="23">
        <v>412.02</v>
      </c>
      <c r="O12" s="25">
        <v>579.0</v>
      </c>
      <c r="P12" s="21">
        <v>6.0</v>
      </c>
      <c r="Q12" s="22">
        <f t="shared" si="1"/>
        <v>0.9282096258</v>
      </c>
    </row>
    <row r="13">
      <c r="A13" s="22" t="s">
        <v>26</v>
      </c>
      <c r="B13" s="22" t="s">
        <v>122</v>
      </c>
      <c r="C13" s="22" t="s">
        <v>13</v>
      </c>
      <c r="D13" s="22" t="s">
        <v>38</v>
      </c>
      <c r="E13" s="22" t="s">
        <v>38</v>
      </c>
      <c r="F13" s="22" t="s">
        <v>136</v>
      </c>
      <c r="G13" s="22" t="s">
        <v>15</v>
      </c>
      <c r="H13" s="22" t="s">
        <v>222</v>
      </c>
      <c r="I13" s="21">
        <v>66.0</v>
      </c>
      <c r="J13" s="22" t="s">
        <v>269</v>
      </c>
      <c r="K13" s="24">
        <v>595428.0</v>
      </c>
      <c r="L13" s="24">
        <v>8293981.0</v>
      </c>
      <c r="M13" s="18">
        <v>7698553.0</v>
      </c>
      <c r="N13" s="23">
        <v>412.02</v>
      </c>
      <c r="O13" s="25">
        <v>579.0</v>
      </c>
      <c r="P13" s="21">
        <v>6.0</v>
      </c>
      <c r="Q13" s="22">
        <f t="shared" si="1"/>
        <v>0.9282096258</v>
      </c>
    </row>
    <row r="14">
      <c r="A14" s="22" t="s">
        <v>26</v>
      </c>
      <c r="B14" s="22" t="s">
        <v>152</v>
      </c>
      <c r="C14" s="22" t="s">
        <v>13</v>
      </c>
      <c r="D14" s="22" t="s">
        <v>38</v>
      </c>
      <c r="E14" s="22" t="s">
        <v>38</v>
      </c>
      <c r="F14" s="22" t="s">
        <v>136</v>
      </c>
      <c r="G14" s="22" t="s">
        <v>15</v>
      </c>
      <c r="H14" s="22" t="s">
        <v>202</v>
      </c>
      <c r="I14" s="21">
        <v>66.0</v>
      </c>
      <c r="J14" s="22" t="s">
        <v>233</v>
      </c>
      <c r="K14" s="24">
        <v>595428.0</v>
      </c>
      <c r="L14" s="24">
        <v>8293981.0</v>
      </c>
      <c r="M14" s="18">
        <v>7698553.0</v>
      </c>
      <c r="N14" s="23">
        <v>412.02</v>
      </c>
      <c r="O14" s="25">
        <v>579.0</v>
      </c>
      <c r="P14" s="21">
        <v>6.0</v>
      </c>
      <c r="Q14" s="22">
        <f t="shared" si="1"/>
        <v>0.9282096258</v>
      </c>
    </row>
    <row r="15">
      <c r="A15" s="22" t="s">
        <v>12</v>
      </c>
      <c r="B15" s="22" t="s">
        <v>115</v>
      </c>
      <c r="C15" s="22" t="s">
        <v>13</v>
      </c>
      <c r="D15" s="22" t="s">
        <v>38</v>
      </c>
      <c r="E15" s="22" t="s">
        <v>38</v>
      </c>
      <c r="F15" s="22" t="s">
        <v>14</v>
      </c>
      <c r="G15" s="22" t="s">
        <v>15</v>
      </c>
      <c r="H15" s="22" t="s">
        <v>165</v>
      </c>
      <c r="I15" s="21">
        <v>61.0</v>
      </c>
      <c r="J15" s="22" t="s">
        <v>270</v>
      </c>
      <c r="K15" s="24">
        <v>839298.0</v>
      </c>
      <c r="L15" s="24">
        <v>8224430.0</v>
      </c>
      <c r="M15" s="18">
        <v>7385132.0</v>
      </c>
      <c r="N15" s="23">
        <v>422.43</v>
      </c>
      <c r="O15" s="22">
        <v>436.0</v>
      </c>
      <c r="P15" s="21">
        <v>5.0</v>
      </c>
      <c r="Q15" s="22">
        <f t="shared" si="1"/>
        <v>0.8979506179</v>
      </c>
    </row>
    <row r="16">
      <c r="A16" s="22" t="s">
        <v>12</v>
      </c>
      <c r="B16" s="22" t="s">
        <v>130</v>
      </c>
      <c r="C16" s="22" t="s">
        <v>13</v>
      </c>
      <c r="D16" s="22" t="s">
        <v>38</v>
      </c>
      <c r="E16" s="22" t="s">
        <v>38</v>
      </c>
      <c r="F16" s="22" t="s">
        <v>14</v>
      </c>
      <c r="G16" s="22" t="s">
        <v>15</v>
      </c>
      <c r="H16" s="22" t="s">
        <v>39</v>
      </c>
      <c r="I16" s="21">
        <v>61.0</v>
      </c>
      <c r="J16" s="22" t="s">
        <v>234</v>
      </c>
      <c r="K16" s="24">
        <v>839298.0</v>
      </c>
      <c r="L16" s="24">
        <v>8224430.0</v>
      </c>
      <c r="M16" s="18">
        <v>7385132.0</v>
      </c>
      <c r="N16" s="23">
        <v>422.43</v>
      </c>
      <c r="O16" s="22">
        <v>436.0</v>
      </c>
      <c r="P16" s="21">
        <v>5.0</v>
      </c>
      <c r="Q16" s="22">
        <f t="shared" si="1"/>
        <v>0.8979506179</v>
      </c>
    </row>
    <row r="17">
      <c r="A17" s="22" t="s">
        <v>12</v>
      </c>
      <c r="B17" s="22" t="s">
        <v>122</v>
      </c>
      <c r="C17" s="22" t="s">
        <v>13</v>
      </c>
      <c r="D17" s="22" t="s">
        <v>38</v>
      </c>
      <c r="E17" s="22" t="s">
        <v>38</v>
      </c>
      <c r="F17" s="22" t="s">
        <v>136</v>
      </c>
      <c r="G17" s="22" t="s">
        <v>15</v>
      </c>
      <c r="H17" s="22" t="s">
        <v>160</v>
      </c>
      <c r="I17" s="21">
        <v>61.0</v>
      </c>
      <c r="J17" s="22" t="s">
        <v>271</v>
      </c>
      <c r="K17" s="24">
        <v>839298.0</v>
      </c>
      <c r="L17" s="24">
        <v>8224430.0</v>
      </c>
      <c r="M17" s="18">
        <v>7385132.0</v>
      </c>
      <c r="N17" s="23">
        <v>422.43</v>
      </c>
      <c r="O17" s="22">
        <v>436.0</v>
      </c>
      <c r="P17" s="21">
        <v>5.0</v>
      </c>
      <c r="Q17" s="22">
        <f t="shared" si="1"/>
        <v>0.8979506179</v>
      </c>
    </row>
    <row r="18">
      <c r="A18" s="22" t="s">
        <v>12</v>
      </c>
      <c r="B18" s="22" t="s">
        <v>152</v>
      </c>
      <c r="C18" s="22" t="s">
        <v>13</v>
      </c>
      <c r="D18" s="22" t="s">
        <v>38</v>
      </c>
      <c r="E18" s="22" t="s">
        <v>38</v>
      </c>
      <c r="F18" s="22" t="s">
        <v>136</v>
      </c>
      <c r="G18" s="22" t="s">
        <v>15</v>
      </c>
      <c r="H18" s="22" t="s">
        <v>232</v>
      </c>
      <c r="I18" s="21">
        <v>61.0</v>
      </c>
      <c r="J18" s="22" t="s">
        <v>272</v>
      </c>
      <c r="K18" s="24">
        <v>839298.0</v>
      </c>
      <c r="L18" s="24">
        <v>8224430.0</v>
      </c>
      <c r="M18" s="18">
        <v>7385132.0</v>
      </c>
      <c r="N18" s="23">
        <v>422.43</v>
      </c>
      <c r="O18" s="22">
        <v>436.0</v>
      </c>
      <c r="P18" s="21">
        <v>5.0</v>
      </c>
      <c r="Q18" s="22">
        <f t="shared" si="1"/>
        <v>0.8979506179</v>
      </c>
    </row>
    <row r="19">
      <c r="A19" s="22" t="s">
        <v>23</v>
      </c>
      <c r="B19" s="22" t="s">
        <v>115</v>
      </c>
      <c r="C19" s="22" t="s">
        <v>13</v>
      </c>
      <c r="D19" s="22" t="s">
        <v>38</v>
      </c>
      <c r="E19" s="22" t="s">
        <v>38</v>
      </c>
      <c r="F19" s="22" t="s">
        <v>136</v>
      </c>
      <c r="G19" s="22" t="s">
        <v>273</v>
      </c>
      <c r="H19" s="22" t="s">
        <v>274</v>
      </c>
      <c r="I19" s="21">
        <v>66.0</v>
      </c>
      <c r="J19" s="22" t="s">
        <v>225</v>
      </c>
      <c r="K19" s="24">
        <v>565587.0</v>
      </c>
      <c r="L19" s="24">
        <v>7875209.0</v>
      </c>
      <c r="M19" s="18">
        <v>7309622.0</v>
      </c>
      <c r="N19" s="23">
        <v>431.22</v>
      </c>
      <c r="O19" s="25">
        <v>2098.0</v>
      </c>
      <c r="P19" s="21">
        <v>2.0</v>
      </c>
      <c r="Q19" s="22">
        <f t="shared" si="1"/>
        <v>0.9281813346</v>
      </c>
    </row>
    <row r="20">
      <c r="A20" s="22" t="s">
        <v>23</v>
      </c>
      <c r="B20" s="22" t="s">
        <v>221</v>
      </c>
      <c r="C20" s="22" t="s">
        <v>13</v>
      </c>
      <c r="D20" s="22" t="s">
        <v>38</v>
      </c>
      <c r="E20" s="22" t="s">
        <v>38</v>
      </c>
      <c r="F20" s="22" t="s">
        <v>136</v>
      </c>
      <c r="G20" s="22" t="s">
        <v>273</v>
      </c>
      <c r="H20" s="22" t="s">
        <v>232</v>
      </c>
      <c r="I20" s="21">
        <v>66.0</v>
      </c>
      <c r="J20" s="22" t="s">
        <v>223</v>
      </c>
      <c r="K20" s="24">
        <v>565587.0</v>
      </c>
      <c r="L20" s="24">
        <v>7875209.0</v>
      </c>
      <c r="M20" s="18">
        <v>7309622.0</v>
      </c>
      <c r="N20" s="23">
        <v>431.22</v>
      </c>
      <c r="O20" s="25">
        <v>2098.0</v>
      </c>
      <c r="P20" s="21">
        <v>2.0</v>
      </c>
      <c r="Q20" s="22">
        <f t="shared" si="1"/>
        <v>0.9281813346</v>
      </c>
    </row>
    <row r="21">
      <c r="A21" s="22" t="s">
        <v>23</v>
      </c>
      <c r="B21" s="22" t="s">
        <v>122</v>
      </c>
      <c r="C21" s="22" t="s">
        <v>13</v>
      </c>
      <c r="D21" s="22" t="s">
        <v>38</v>
      </c>
      <c r="E21" s="22" t="s">
        <v>38</v>
      </c>
      <c r="F21" s="22" t="s">
        <v>136</v>
      </c>
      <c r="G21" s="22" t="s">
        <v>273</v>
      </c>
      <c r="H21" s="22" t="s">
        <v>275</v>
      </c>
      <c r="I21" s="21">
        <v>66.0</v>
      </c>
      <c r="J21" s="22" t="s">
        <v>276</v>
      </c>
      <c r="K21" s="24">
        <v>565587.0</v>
      </c>
      <c r="L21" s="24">
        <v>7875209.0</v>
      </c>
      <c r="M21" s="18">
        <v>7309622.0</v>
      </c>
      <c r="N21" s="23">
        <v>431.22</v>
      </c>
      <c r="O21" s="25">
        <v>2098.0</v>
      </c>
      <c r="P21" s="21">
        <v>2.0</v>
      </c>
      <c r="Q21" s="22">
        <f t="shared" si="1"/>
        <v>0.9281813346</v>
      </c>
    </row>
    <row r="22">
      <c r="A22" s="22" t="s">
        <v>31</v>
      </c>
      <c r="B22" s="22" t="s">
        <v>115</v>
      </c>
      <c r="C22" s="22" t="s">
        <v>13</v>
      </c>
      <c r="D22" s="22" t="s">
        <v>38</v>
      </c>
      <c r="E22" s="22" t="s">
        <v>38</v>
      </c>
      <c r="F22" s="22" t="s">
        <v>136</v>
      </c>
      <c r="G22" s="22" t="s">
        <v>158</v>
      </c>
      <c r="H22" s="22" t="s">
        <v>243</v>
      </c>
      <c r="I22" s="21">
        <v>53.0</v>
      </c>
      <c r="J22" s="22" t="s">
        <v>244</v>
      </c>
      <c r="K22" s="24">
        <v>91621.0</v>
      </c>
      <c r="L22" s="24">
        <v>6864471.0</v>
      </c>
      <c r="M22" s="18">
        <v>6772850.0</v>
      </c>
      <c r="N22" s="23">
        <v>226.28</v>
      </c>
      <c r="O22" s="22">
        <v>417.0</v>
      </c>
      <c r="P22" s="21">
        <v>11.0</v>
      </c>
      <c r="Q22" s="22">
        <f t="shared" si="1"/>
        <v>0.9866528681</v>
      </c>
    </row>
    <row r="23">
      <c r="A23" s="22" t="s">
        <v>31</v>
      </c>
      <c r="B23" s="22" t="s">
        <v>130</v>
      </c>
      <c r="C23" s="22" t="s">
        <v>13</v>
      </c>
      <c r="D23" s="22" t="s">
        <v>38</v>
      </c>
      <c r="E23" s="22" t="s">
        <v>38</v>
      </c>
      <c r="F23" s="22" t="s">
        <v>136</v>
      </c>
      <c r="G23" s="22" t="s">
        <v>158</v>
      </c>
      <c r="H23" s="22" t="s">
        <v>236</v>
      </c>
      <c r="I23" s="21">
        <v>53.0</v>
      </c>
      <c r="J23" s="22" t="s">
        <v>277</v>
      </c>
      <c r="K23" s="24">
        <v>91621.0</v>
      </c>
      <c r="L23" s="24">
        <v>6864471.0</v>
      </c>
      <c r="M23" s="18">
        <v>6772850.0</v>
      </c>
      <c r="N23" s="23">
        <v>226.28</v>
      </c>
      <c r="O23" s="22">
        <v>417.0</v>
      </c>
      <c r="P23" s="21">
        <v>11.0</v>
      </c>
      <c r="Q23" s="22">
        <f t="shared" si="1"/>
        <v>0.9866528681</v>
      </c>
    </row>
    <row r="24">
      <c r="A24" s="22" t="s">
        <v>31</v>
      </c>
      <c r="B24" s="22" t="s">
        <v>221</v>
      </c>
      <c r="C24" s="22" t="s">
        <v>13</v>
      </c>
      <c r="D24" s="22" t="s">
        <v>38</v>
      </c>
      <c r="E24" s="22" t="s">
        <v>38</v>
      </c>
      <c r="F24" s="22" t="s">
        <v>14</v>
      </c>
      <c r="G24" s="22" t="s">
        <v>137</v>
      </c>
      <c r="H24" s="22" t="s">
        <v>163</v>
      </c>
      <c r="I24" s="21">
        <v>53.0</v>
      </c>
      <c r="J24" s="22" t="s">
        <v>216</v>
      </c>
      <c r="K24" s="24">
        <v>91621.0</v>
      </c>
      <c r="L24" s="24">
        <v>6864471.0</v>
      </c>
      <c r="M24" s="18">
        <v>6772850.0</v>
      </c>
      <c r="N24" s="23">
        <v>226.28</v>
      </c>
      <c r="O24" s="22">
        <v>417.0</v>
      </c>
      <c r="P24" s="21">
        <v>11.0</v>
      </c>
      <c r="Q24" s="22">
        <f t="shared" si="1"/>
        <v>0.9866528681</v>
      </c>
    </row>
    <row r="25">
      <c r="A25" s="22" t="s">
        <v>20</v>
      </c>
      <c r="B25" s="22" t="s">
        <v>130</v>
      </c>
      <c r="C25" s="22" t="s">
        <v>13</v>
      </c>
      <c r="D25" s="22" t="s">
        <v>38</v>
      </c>
      <c r="E25" s="22" t="s">
        <v>69</v>
      </c>
      <c r="F25" s="22" t="s">
        <v>136</v>
      </c>
      <c r="G25" s="22" t="s">
        <v>19</v>
      </c>
      <c r="H25" s="22" t="s">
        <v>39</v>
      </c>
      <c r="I25" s="21">
        <v>48.0</v>
      </c>
      <c r="J25" s="22" t="s">
        <v>227</v>
      </c>
      <c r="K25" s="24">
        <v>411710.0</v>
      </c>
      <c r="L25" s="24">
        <v>6863481.0</v>
      </c>
      <c r="M25" s="18">
        <v>6451771.0</v>
      </c>
      <c r="N25" s="23">
        <v>360.8</v>
      </c>
      <c r="O25" s="25">
        <v>794.0</v>
      </c>
      <c r="P25" s="21">
        <v>7.0</v>
      </c>
      <c r="Q25" s="22">
        <f t="shared" si="1"/>
        <v>0.9400144038</v>
      </c>
    </row>
    <row r="26">
      <c r="A26" s="22" t="s">
        <v>20</v>
      </c>
      <c r="B26" s="22" t="s">
        <v>221</v>
      </c>
      <c r="C26" s="22" t="s">
        <v>13</v>
      </c>
      <c r="D26" s="22" t="s">
        <v>38</v>
      </c>
      <c r="E26" s="22" t="s">
        <v>38</v>
      </c>
      <c r="F26" s="22" t="s">
        <v>136</v>
      </c>
      <c r="G26" s="22" t="s">
        <v>15</v>
      </c>
      <c r="H26" s="22" t="s">
        <v>243</v>
      </c>
      <c r="I26" s="21">
        <v>48.0</v>
      </c>
      <c r="J26" s="22" t="s">
        <v>249</v>
      </c>
      <c r="K26" s="24">
        <v>411710.0</v>
      </c>
      <c r="L26" s="24">
        <v>6863481.0</v>
      </c>
      <c r="M26" s="18">
        <v>6451771.0</v>
      </c>
      <c r="N26" s="23">
        <v>360.8</v>
      </c>
      <c r="O26" s="25">
        <v>794.0</v>
      </c>
      <c r="P26" s="21">
        <v>7.0</v>
      </c>
      <c r="Q26" s="22">
        <f t="shared" si="1"/>
        <v>0.9400144038</v>
      </c>
    </row>
    <row r="27">
      <c r="A27" s="22" t="s">
        <v>20</v>
      </c>
      <c r="B27" s="22" t="s">
        <v>122</v>
      </c>
      <c r="C27" s="22" t="s">
        <v>13</v>
      </c>
      <c r="D27" s="22" t="s">
        <v>38</v>
      </c>
      <c r="E27" s="22" t="s">
        <v>38</v>
      </c>
      <c r="F27" s="22" t="s">
        <v>136</v>
      </c>
      <c r="G27" s="22" t="s">
        <v>21</v>
      </c>
      <c r="H27" s="22" t="s">
        <v>169</v>
      </c>
      <c r="I27" s="21">
        <v>48.0</v>
      </c>
      <c r="J27" s="22" t="s">
        <v>238</v>
      </c>
      <c r="K27" s="24">
        <v>411710.0</v>
      </c>
      <c r="L27" s="24">
        <v>6863481.0</v>
      </c>
      <c r="M27" s="18">
        <v>6451771.0</v>
      </c>
      <c r="N27" s="23">
        <v>360.8</v>
      </c>
      <c r="O27" s="25">
        <v>794.0</v>
      </c>
      <c r="P27" s="21">
        <v>7.0</v>
      </c>
      <c r="Q27" s="22">
        <f t="shared" si="1"/>
        <v>0.9400144038</v>
      </c>
    </row>
    <row r="28">
      <c r="A28" s="22" t="s">
        <v>20</v>
      </c>
      <c r="B28" s="22" t="s">
        <v>115</v>
      </c>
      <c r="C28" s="22" t="s">
        <v>17</v>
      </c>
      <c r="D28" s="22" t="s">
        <v>38</v>
      </c>
      <c r="E28" s="22" t="s">
        <v>38</v>
      </c>
      <c r="F28" s="22" t="s">
        <v>14</v>
      </c>
      <c r="G28" s="22" t="s">
        <v>21</v>
      </c>
      <c r="H28" s="22" t="s">
        <v>278</v>
      </c>
      <c r="I28" s="21">
        <v>48.0</v>
      </c>
      <c r="J28" s="22" t="s">
        <v>279</v>
      </c>
      <c r="K28" s="24">
        <v>411710.0</v>
      </c>
      <c r="L28" s="24">
        <v>6863481.0</v>
      </c>
      <c r="M28" s="18">
        <v>6451771.0</v>
      </c>
      <c r="N28" s="23">
        <v>360.8</v>
      </c>
      <c r="O28" s="25">
        <v>794.0</v>
      </c>
      <c r="P28" s="21">
        <v>7.0</v>
      </c>
      <c r="Q28" s="22">
        <f t="shared" si="1"/>
        <v>0.9400144038</v>
      </c>
    </row>
    <row r="29">
      <c r="A29" s="22" t="s">
        <v>33</v>
      </c>
      <c r="B29" s="22" t="s">
        <v>130</v>
      </c>
      <c r="C29" s="22" t="s">
        <v>13</v>
      </c>
      <c r="D29" s="22" t="s">
        <v>38</v>
      </c>
      <c r="E29" s="22" t="s">
        <v>38</v>
      </c>
      <c r="F29" s="22" t="s">
        <v>136</v>
      </c>
      <c r="G29" s="22" t="s">
        <v>137</v>
      </c>
      <c r="H29" s="22" t="s">
        <v>168</v>
      </c>
      <c r="I29" s="21">
        <v>46.0</v>
      </c>
      <c r="J29" s="22" t="s">
        <v>280</v>
      </c>
      <c r="K29" s="24">
        <v>434865.0</v>
      </c>
      <c r="L29" s="24">
        <v>6527391.0</v>
      </c>
      <c r="M29" s="18">
        <v>6092526.0</v>
      </c>
      <c r="N29" s="23">
        <v>345.87</v>
      </c>
      <c r="O29" s="22">
        <v>243.0</v>
      </c>
      <c r="P29" s="21">
        <v>9.0</v>
      </c>
      <c r="Q29" s="22">
        <f t="shared" si="1"/>
        <v>0.9333784356</v>
      </c>
    </row>
    <row r="30">
      <c r="A30" s="22" t="s">
        <v>33</v>
      </c>
      <c r="B30" s="22" t="s">
        <v>115</v>
      </c>
      <c r="C30" s="22" t="s">
        <v>13</v>
      </c>
      <c r="D30" s="22" t="s">
        <v>38</v>
      </c>
      <c r="E30" s="22" t="s">
        <v>38</v>
      </c>
      <c r="F30" s="22" t="s">
        <v>136</v>
      </c>
      <c r="G30" s="22" t="s">
        <v>15</v>
      </c>
      <c r="H30" s="22" t="s">
        <v>169</v>
      </c>
      <c r="I30" s="21">
        <v>46.0</v>
      </c>
      <c r="J30" s="22" t="s">
        <v>281</v>
      </c>
      <c r="K30" s="24">
        <v>434865.0</v>
      </c>
      <c r="L30" s="24">
        <v>6527391.0</v>
      </c>
      <c r="M30" s="18">
        <v>6092526.0</v>
      </c>
      <c r="N30" s="23">
        <v>345.87</v>
      </c>
      <c r="O30" s="22">
        <v>243.0</v>
      </c>
      <c r="P30" s="21">
        <v>9.0</v>
      </c>
      <c r="Q30" s="22">
        <f t="shared" si="1"/>
        <v>0.9333784356</v>
      </c>
    </row>
    <row r="31">
      <c r="A31" s="22" t="s">
        <v>16</v>
      </c>
      <c r="B31" s="22" t="s">
        <v>130</v>
      </c>
      <c r="C31" s="22" t="s">
        <v>17</v>
      </c>
      <c r="D31" s="22" t="s">
        <v>38</v>
      </c>
      <c r="E31" s="22" t="s">
        <v>38</v>
      </c>
      <c r="F31" s="22" t="s">
        <v>136</v>
      </c>
      <c r="G31" s="22" t="s">
        <v>15</v>
      </c>
      <c r="H31" s="22" t="s">
        <v>177</v>
      </c>
      <c r="I31" s="21">
        <v>59.0</v>
      </c>
      <c r="J31" s="22" t="s">
        <v>240</v>
      </c>
      <c r="K31" s="24">
        <v>201052.0</v>
      </c>
      <c r="L31" s="24">
        <v>5993967.0</v>
      </c>
      <c r="M31" s="18">
        <v>5792915.0</v>
      </c>
      <c r="N31" s="23">
        <v>190.66</v>
      </c>
      <c r="O31" s="25">
        <v>6118.0</v>
      </c>
      <c r="P31" s="21">
        <v>12.0</v>
      </c>
      <c r="Q31" s="22">
        <f t="shared" si="1"/>
        <v>0.9664576065</v>
      </c>
    </row>
    <row r="32">
      <c r="A32" s="22" t="s">
        <v>16</v>
      </c>
      <c r="B32" s="22" t="s">
        <v>115</v>
      </c>
      <c r="C32" s="22" t="s">
        <v>17</v>
      </c>
      <c r="D32" s="22" t="s">
        <v>38</v>
      </c>
      <c r="E32" s="22" t="s">
        <v>38</v>
      </c>
      <c r="F32" s="22" t="s">
        <v>136</v>
      </c>
      <c r="G32" s="22" t="s">
        <v>15</v>
      </c>
      <c r="H32" s="22" t="s">
        <v>154</v>
      </c>
      <c r="I32" s="21">
        <v>59.0</v>
      </c>
      <c r="J32" s="22" t="s">
        <v>282</v>
      </c>
      <c r="K32" s="24">
        <v>201052.0</v>
      </c>
      <c r="L32" s="24">
        <v>5993967.0</v>
      </c>
      <c r="M32" s="18">
        <v>5792915.0</v>
      </c>
      <c r="N32" s="23">
        <v>190.66</v>
      </c>
      <c r="O32" s="25">
        <v>6118.0</v>
      </c>
      <c r="P32" s="21">
        <v>12.0</v>
      </c>
      <c r="Q32" s="22">
        <f t="shared" si="1"/>
        <v>0.9664576065</v>
      </c>
    </row>
    <row r="33">
      <c r="A33" s="22" t="s">
        <v>24</v>
      </c>
      <c r="B33" s="22" t="s">
        <v>130</v>
      </c>
      <c r="C33" s="22" t="s">
        <v>17</v>
      </c>
      <c r="D33" s="22" t="s">
        <v>38</v>
      </c>
      <c r="E33" s="22" t="s">
        <v>38</v>
      </c>
      <c r="F33" s="22" t="s">
        <v>14</v>
      </c>
      <c r="G33" s="22" t="s">
        <v>19</v>
      </c>
      <c r="H33" s="22" t="s">
        <v>283</v>
      </c>
      <c r="I33" s="21">
        <v>51.0</v>
      </c>
      <c r="J33" s="22" t="s">
        <v>284</v>
      </c>
      <c r="K33" s="24">
        <v>407675.0</v>
      </c>
      <c r="L33" s="24">
        <v>5945947.0</v>
      </c>
      <c r="M33" s="18">
        <v>5538272.0</v>
      </c>
      <c r="N33" s="23">
        <v>299.92</v>
      </c>
      <c r="O33" s="25">
        <v>1060.0</v>
      </c>
      <c r="P33" s="21">
        <v>10.0</v>
      </c>
      <c r="Q33" s="22">
        <f t="shared" si="1"/>
        <v>0.9314364894</v>
      </c>
    </row>
    <row r="34">
      <c r="A34" s="22" t="s">
        <v>24</v>
      </c>
      <c r="B34" s="22" t="s">
        <v>115</v>
      </c>
      <c r="C34" s="22" t="s">
        <v>17</v>
      </c>
      <c r="D34" s="22" t="s">
        <v>38</v>
      </c>
      <c r="E34" s="22" t="s">
        <v>38</v>
      </c>
      <c r="F34" s="22" t="s">
        <v>14</v>
      </c>
      <c r="G34" s="22" t="s">
        <v>21</v>
      </c>
      <c r="H34" s="22" t="s">
        <v>199</v>
      </c>
      <c r="I34" s="21">
        <v>51.0</v>
      </c>
      <c r="J34" s="22" t="s">
        <v>250</v>
      </c>
      <c r="K34" s="24">
        <v>407675.0</v>
      </c>
      <c r="L34" s="24">
        <v>5945947.0</v>
      </c>
      <c r="M34" s="18">
        <v>5538272.0</v>
      </c>
      <c r="N34" s="23">
        <v>299.92</v>
      </c>
      <c r="O34" s="25">
        <v>1060.0</v>
      </c>
      <c r="P34" s="21">
        <v>10.0</v>
      </c>
      <c r="Q34" s="22">
        <f t="shared" si="1"/>
        <v>0.9314364894</v>
      </c>
    </row>
    <row r="35">
      <c r="A35" s="22" t="s">
        <v>27</v>
      </c>
      <c r="B35" s="22" t="s">
        <v>130</v>
      </c>
      <c r="C35" s="22" t="s">
        <v>13</v>
      </c>
      <c r="D35" s="22" t="s">
        <v>38</v>
      </c>
      <c r="E35" s="22" t="s">
        <v>38</v>
      </c>
      <c r="F35" s="22" t="s">
        <v>14</v>
      </c>
      <c r="G35" s="22" t="s">
        <v>15</v>
      </c>
      <c r="H35" s="22" t="s">
        <v>184</v>
      </c>
      <c r="I35" s="21">
        <v>40.0</v>
      </c>
      <c r="J35" s="22" t="s">
        <v>242</v>
      </c>
      <c r="K35" s="24">
        <v>509935.0</v>
      </c>
      <c r="L35" s="24">
        <v>5487775.0</v>
      </c>
      <c r="M35" s="18">
        <v>4977840.0</v>
      </c>
      <c r="N35" s="23">
        <v>347.79</v>
      </c>
      <c r="O35" s="25">
        <v>701.0</v>
      </c>
      <c r="P35" s="21">
        <v>8.0</v>
      </c>
      <c r="Q35" s="22">
        <f t="shared" si="1"/>
        <v>0.9070780052</v>
      </c>
    </row>
    <row r="36">
      <c r="A36" s="22" t="s">
        <v>27</v>
      </c>
      <c r="B36" s="22" t="s">
        <v>115</v>
      </c>
      <c r="C36" s="22" t="s">
        <v>13</v>
      </c>
      <c r="D36" s="22" t="s">
        <v>38</v>
      </c>
      <c r="E36" s="22" t="s">
        <v>38</v>
      </c>
      <c r="F36" s="22" t="s">
        <v>14</v>
      </c>
      <c r="G36" s="22" t="s">
        <v>15</v>
      </c>
      <c r="H36" s="22" t="s">
        <v>66</v>
      </c>
      <c r="I36" s="21">
        <v>40.0</v>
      </c>
      <c r="J36" s="22" t="s">
        <v>247</v>
      </c>
      <c r="K36" s="24">
        <v>509935.0</v>
      </c>
      <c r="L36" s="24">
        <v>5487775.0</v>
      </c>
      <c r="M36" s="18">
        <v>4977840.0</v>
      </c>
      <c r="N36" s="23">
        <v>347.79</v>
      </c>
      <c r="O36" s="25">
        <v>701.0</v>
      </c>
      <c r="P36" s="21">
        <v>8.0</v>
      </c>
      <c r="Q36" s="22">
        <f t="shared" si="1"/>
        <v>0.9070780052</v>
      </c>
    </row>
    <row r="37">
      <c r="A37" s="22" t="s">
        <v>28</v>
      </c>
      <c r="B37" s="22" t="s">
        <v>130</v>
      </c>
      <c r="C37" s="22" t="s">
        <v>13</v>
      </c>
      <c r="D37" s="22" t="s">
        <v>38</v>
      </c>
      <c r="E37" s="22" t="s">
        <v>69</v>
      </c>
      <c r="F37" s="22" t="s">
        <v>136</v>
      </c>
      <c r="G37" s="22" t="s">
        <v>19</v>
      </c>
      <c r="H37" s="22" t="s">
        <v>172</v>
      </c>
      <c r="I37" s="21">
        <v>49.0</v>
      </c>
      <c r="J37" s="22" t="s">
        <v>285</v>
      </c>
      <c r="K37" s="24">
        <v>-510415.0</v>
      </c>
      <c r="L37" s="24">
        <v>4289896.0</v>
      </c>
      <c r="M37" s="18">
        <v>4800311.0</v>
      </c>
      <c r="N37" s="23">
        <v>75.15</v>
      </c>
      <c r="O37" s="25">
        <v>3597.0</v>
      </c>
      <c r="P37" s="21">
        <v>15.0</v>
      </c>
      <c r="Q37" s="22">
        <f t="shared" si="1"/>
        <v>1.11898074</v>
      </c>
    </row>
    <row r="38">
      <c r="A38" s="22" t="s">
        <v>28</v>
      </c>
      <c r="B38" s="22" t="s">
        <v>115</v>
      </c>
      <c r="C38" s="22" t="s">
        <v>13</v>
      </c>
      <c r="D38" s="22" t="s">
        <v>38</v>
      </c>
      <c r="E38" s="22" t="s">
        <v>38</v>
      </c>
      <c r="F38" s="22" t="s">
        <v>136</v>
      </c>
      <c r="G38" s="22" t="s">
        <v>19</v>
      </c>
      <c r="H38" s="22" t="s">
        <v>286</v>
      </c>
      <c r="I38" s="21">
        <v>49.0</v>
      </c>
      <c r="J38" s="22" t="s">
        <v>246</v>
      </c>
      <c r="K38" s="24">
        <v>-510415.0</v>
      </c>
      <c r="L38" s="24">
        <v>4289896.0</v>
      </c>
      <c r="M38" s="18">
        <v>4800311.0</v>
      </c>
      <c r="N38" s="23">
        <v>75.15</v>
      </c>
      <c r="O38" s="25">
        <v>3597.0</v>
      </c>
      <c r="P38" s="21">
        <v>15.0</v>
      </c>
      <c r="Q38" s="22">
        <f t="shared" si="1"/>
        <v>1.11898074</v>
      </c>
    </row>
    <row r="39">
      <c r="A39" s="22" t="s">
        <v>32</v>
      </c>
      <c r="B39" s="22" t="s">
        <v>115</v>
      </c>
      <c r="C39" s="22" t="s">
        <v>13</v>
      </c>
      <c r="D39" s="22" t="s">
        <v>38</v>
      </c>
      <c r="E39" s="22" t="s">
        <v>38</v>
      </c>
      <c r="F39" s="22" t="s">
        <v>14</v>
      </c>
      <c r="G39" s="22" t="s">
        <v>15</v>
      </c>
      <c r="H39" s="22" t="s">
        <v>39</v>
      </c>
      <c r="I39" s="21">
        <v>56.0</v>
      </c>
      <c r="J39" s="22" t="s">
        <v>258</v>
      </c>
      <c r="K39" s="24">
        <v>-217310.0</v>
      </c>
      <c r="L39" s="24">
        <v>3251468.0</v>
      </c>
      <c r="M39" s="18">
        <v>3468778.0</v>
      </c>
      <c r="N39" s="23">
        <v>77.01</v>
      </c>
      <c r="O39" s="25">
        <v>2603.0</v>
      </c>
      <c r="P39" s="21">
        <v>14.0</v>
      </c>
      <c r="Q39" s="22">
        <f t="shared" si="1"/>
        <v>1.066834427</v>
      </c>
    </row>
    <row r="40">
      <c r="A40" s="22" t="s">
        <v>32</v>
      </c>
      <c r="B40" s="22" t="s">
        <v>130</v>
      </c>
      <c r="C40" s="22" t="s">
        <v>17</v>
      </c>
      <c r="D40" s="22" t="s">
        <v>38</v>
      </c>
      <c r="E40" s="22" t="s">
        <v>38</v>
      </c>
      <c r="F40" s="22" t="s">
        <v>14</v>
      </c>
      <c r="G40" s="22" t="s">
        <v>15</v>
      </c>
      <c r="H40" s="22" t="s">
        <v>287</v>
      </c>
      <c r="I40" s="21">
        <v>56.0</v>
      </c>
      <c r="J40" s="22" t="s">
        <v>285</v>
      </c>
      <c r="K40" s="24">
        <v>-217310.0</v>
      </c>
      <c r="L40" s="24">
        <v>3251468.0</v>
      </c>
      <c r="M40" s="18">
        <v>3468778.0</v>
      </c>
      <c r="N40" s="23">
        <v>77.01</v>
      </c>
      <c r="O40" s="25">
        <v>2603.0</v>
      </c>
      <c r="P40" s="21">
        <v>14.0</v>
      </c>
      <c r="Q40" s="22">
        <f t="shared" si="1"/>
        <v>1.066834427</v>
      </c>
    </row>
    <row r="41">
      <c r="A41" s="22" t="s">
        <v>32</v>
      </c>
      <c r="B41" s="22" t="s">
        <v>115</v>
      </c>
      <c r="C41" s="22" t="s">
        <v>17</v>
      </c>
      <c r="D41" s="22" t="s">
        <v>38</v>
      </c>
      <c r="E41" s="22" t="s">
        <v>38</v>
      </c>
      <c r="F41" s="22" t="s">
        <v>14</v>
      </c>
      <c r="G41" s="22" t="s">
        <v>15</v>
      </c>
      <c r="H41" s="22" t="s">
        <v>215</v>
      </c>
      <c r="I41" s="21">
        <v>56.0</v>
      </c>
      <c r="J41" s="22" t="s">
        <v>257</v>
      </c>
      <c r="K41" s="24">
        <v>-217310.0</v>
      </c>
      <c r="L41" s="24">
        <v>3251468.0</v>
      </c>
      <c r="M41" s="18">
        <v>3468778.0</v>
      </c>
      <c r="N41" s="23">
        <v>77.01</v>
      </c>
      <c r="O41" s="25">
        <v>2603.0</v>
      </c>
      <c r="P41" s="21">
        <v>14.0</v>
      </c>
      <c r="Q41" s="22">
        <f t="shared" si="1"/>
        <v>1.066834427</v>
      </c>
    </row>
  </sheetData>
  <autoFilter ref="$A$1:$Q$41">
    <sortState ref="A1:Q41">
      <sortCondition descending="1" ref="L1:L41"/>
      <sortCondition ref="Q1:Q41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112</v>
      </c>
      <c r="C1" s="1" t="s">
        <v>1</v>
      </c>
      <c r="D1" s="1" t="s">
        <v>113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151</v>
      </c>
      <c r="J1" s="1" t="s">
        <v>5</v>
      </c>
      <c r="K1" s="1" t="s">
        <v>7</v>
      </c>
      <c r="L1" s="1" t="s">
        <v>8</v>
      </c>
      <c r="M1" s="1" t="s">
        <v>35</v>
      </c>
      <c r="N1" s="1" t="s">
        <v>6</v>
      </c>
      <c r="O1" s="1" t="s">
        <v>114</v>
      </c>
      <c r="P1" s="1" t="s">
        <v>11</v>
      </c>
      <c r="Q1" s="1" t="s">
        <v>37</v>
      </c>
    </row>
    <row r="2">
      <c r="A2" s="22" t="s">
        <v>22</v>
      </c>
      <c r="B2" s="22" t="s">
        <v>115</v>
      </c>
      <c r="C2" s="22" t="s">
        <v>13</v>
      </c>
      <c r="D2" s="22" t="s">
        <v>38</v>
      </c>
      <c r="E2" s="22" t="s">
        <v>38</v>
      </c>
      <c r="F2" s="22" t="s">
        <v>14</v>
      </c>
      <c r="G2" s="22" t="s">
        <v>15</v>
      </c>
      <c r="H2" s="22" t="s">
        <v>165</v>
      </c>
      <c r="I2" s="22">
        <v>55.0</v>
      </c>
      <c r="J2" s="22" t="s">
        <v>220</v>
      </c>
      <c r="K2" s="18">
        <v>884369.0</v>
      </c>
      <c r="L2" s="18">
        <v>8551520.0</v>
      </c>
      <c r="M2" s="18">
        <v>7667151.0</v>
      </c>
      <c r="N2" s="23">
        <v>426.73</v>
      </c>
      <c r="O2" s="25">
        <v>510.0</v>
      </c>
      <c r="P2" s="22">
        <v>4.0</v>
      </c>
      <c r="Q2" s="22">
        <f t="shared" ref="Q2:Q41" si="1">M2/L2</f>
        <v>0.8965834144</v>
      </c>
    </row>
    <row r="3">
      <c r="A3" s="22" t="s">
        <v>22</v>
      </c>
      <c r="B3" s="22" t="s">
        <v>130</v>
      </c>
      <c r="C3" s="22" t="s">
        <v>13</v>
      </c>
      <c r="D3" s="22" t="s">
        <v>69</v>
      </c>
      <c r="E3" s="22" t="s">
        <v>38</v>
      </c>
      <c r="F3" s="22" t="s">
        <v>14</v>
      </c>
      <c r="G3" s="22" t="s">
        <v>15</v>
      </c>
      <c r="H3" s="22" t="s">
        <v>190</v>
      </c>
      <c r="I3" s="22">
        <v>55.0</v>
      </c>
      <c r="J3" s="22" t="s">
        <v>288</v>
      </c>
      <c r="K3" s="18">
        <v>884369.0</v>
      </c>
      <c r="L3" s="18">
        <v>8551520.0</v>
      </c>
      <c r="M3" s="18">
        <v>7667151.0</v>
      </c>
      <c r="N3" s="23">
        <v>426.73</v>
      </c>
      <c r="O3" s="25">
        <v>510.0</v>
      </c>
      <c r="P3" s="22">
        <v>4.0</v>
      </c>
      <c r="Q3" s="22">
        <f t="shared" si="1"/>
        <v>0.8965834144</v>
      </c>
    </row>
    <row r="4">
      <c r="A4" s="22" t="s">
        <v>26</v>
      </c>
      <c r="B4" s="22" t="s">
        <v>115</v>
      </c>
      <c r="C4" s="22" t="s">
        <v>13</v>
      </c>
      <c r="D4" s="22" t="s">
        <v>38</v>
      </c>
      <c r="E4" s="22" t="s">
        <v>38</v>
      </c>
      <c r="F4" s="22" t="s">
        <v>136</v>
      </c>
      <c r="G4" s="22" t="s">
        <v>15</v>
      </c>
      <c r="H4" s="22" t="s">
        <v>289</v>
      </c>
      <c r="I4" s="22">
        <v>66.0</v>
      </c>
      <c r="J4" s="22" t="s">
        <v>246</v>
      </c>
      <c r="K4" s="18">
        <v>826634.0</v>
      </c>
      <c r="L4" s="18">
        <v>8382123.0</v>
      </c>
      <c r="M4" s="18">
        <v>7555489.0</v>
      </c>
      <c r="N4" s="23">
        <v>412.02</v>
      </c>
      <c r="O4" s="25">
        <v>441.0</v>
      </c>
      <c r="P4" s="22">
        <v>6.0</v>
      </c>
      <c r="Q4" s="22">
        <f t="shared" si="1"/>
        <v>0.9013813088</v>
      </c>
    </row>
    <row r="5">
      <c r="A5" s="22" t="s">
        <v>26</v>
      </c>
      <c r="B5" s="22" t="s">
        <v>122</v>
      </c>
      <c r="C5" s="22" t="s">
        <v>13</v>
      </c>
      <c r="D5" s="22" t="s">
        <v>38</v>
      </c>
      <c r="E5" s="22" t="s">
        <v>38</v>
      </c>
      <c r="F5" s="22" t="s">
        <v>136</v>
      </c>
      <c r="G5" s="22" t="s">
        <v>15</v>
      </c>
      <c r="H5" s="22" t="s">
        <v>224</v>
      </c>
      <c r="I5" s="22">
        <v>66.0</v>
      </c>
      <c r="J5" s="22" t="s">
        <v>269</v>
      </c>
      <c r="K5" s="18">
        <v>826634.0</v>
      </c>
      <c r="L5" s="18">
        <v>8382123.0</v>
      </c>
      <c r="M5" s="18">
        <v>7555489.0</v>
      </c>
      <c r="N5" s="23">
        <v>412.02</v>
      </c>
      <c r="O5" s="25">
        <v>441.0</v>
      </c>
      <c r="P5" s="22">
        <v>6.0</v>
      </c>
      <c r="Q5" s="22">
        <f t="shared" si="1"/>
        <v>0.9013813088</v>
      </c>
    </row>
    <row r="6">
      <c r="A6" s="22" t="s">
        <v>26</v>
      </c>
      <c r="B6" s="22" t="s">
        <v>152</v>
      </c>
      <c r="C6" s="22" t="s">
        <v>13</v>
      </c>
      <c r="D6" s="22" t="s">
        <v>38</v>
      </c>
      <c r="E6" s="22" t="s">
        <v>38</v>
      </c>
      <c r="F6" s="22" t="s">
        <v>136</v>
      </c>
      <c r="G6" s="22" t="s">
        <v>15</v>
      </c>
      <c r="H6" s="22" t="s">
        <v>222</v>
      </c>
      <c r="I6" s="22">
        <v>66.0</v>
      </c>
      <c r="J6" s="22" t="s">
        <v>290</v>
      </c>
      <c r="K6" s="18">
        <v>826634.0</v>
      </c>
      <c r="L6" s="18">
        <v>8382123.0</v>
      </c>
      <c r="M6" s="18">
        <v>7555489.0</v>
      </c>
      <c r="N6" s="23">
        <v>412.02</v>
      </c>
      <c r="O6" s="25">
        <v>441.0</v>
      </c>
      <c r="P6" s="22">
        <v>6.0</v>
      </c>
      <c r="Q6" s="22">
        <f t="shared" si="1"/>
        <v>0.9013813088</v>
      </c>
    </row>
    <row r="7">
      <c r="A7" s="22" t="s">
        <v>12</v>
      </c>
      <c r="B7" s="22" t="s">
        <v>115</v>
      </c>
      <c r="C7" s="22" t="s">
        <v>13</v>
      </c>
      <c r="D7" s="22" t="s">
        <v>38</v>
      </c>
      <c r="E7" s="22" t="s">
        <v>38</v>
      </c>
      <c r="F7" s="22" t="s">
        <v>14</v>
      </c>
      <c r="G7" s="22" t="s">
        <v>15</v>
      </c>
      <c r="H7" s="22" t="s">
        <v>291</v>
      </c>
      <c r="I7" s="22">
        <v>64.0</v>
      </c>
      <c r="J7" s="22" t="s">
        <v>251</v>
      </c>
      <c r="K7" s="18">
        <v>728764.0</v>
      </c>
      <c r="L7" s="18">
        <v>7521663.0</v>
      </c>
      <c r="M7" s="18">
        <v>6792899.0</v>
      </c>
      <c r="N7" s="23">
        <v>422.43</v>
      </c>
      <c r="O7" s="25">
        <v>2255.0</v>
      </c>
      <c r="P7" s="22">
        <v>5.0</v>
      </c>
      <c r="Q7" s="22">
        <f t="shared" si="1"/>
        <v>0.9031113199</v>
      </c>
    </row>
    <row r="8">
      <c r="A8" s="22" t="s">
        <v>12</v>
      </c>
      <c r="B8" s="22" t="s">
        <v>130</v>
      </c>
      <c r="C8" s="22" t="s">
        <v>13</v>
      </c>
      <c r="D8" s="22" t="s">
        <v>38</v>
      </c>
      <c r="E8" s="22" t="s">
        <v>38</v>
      </c>
      <c r="F8" s="22" t="s">
        <v>14</v>
      </c>
      <c r="G8" s="22" t="s">
        <v>15</v>
      </c>
      <c r="H8" s="22" t="s">
        <v>184</v>
      </c>
      <c r="I8" s="22">
        <v>64.0</v>
      </c>
      <c r="J8" s="22" t="s">
        <v>234</v>
      </c>
      <c r="K8" s="18">
        <v>728764.0</v>
      </c>
      <c r="L8" s="18">
        <v>7521663.0</v>
      </c>
      <c r="M8" s="18">
        <v>6792899.0</v>
      </c>
      <c r="N8" s="23">
        <v>422.43</v>
      </c>
      <c r="O8" s="25">
        <v>2255.0</v>
      </c>
      <c r="P8" s="22">
        <v>5.0</v>
      </c>
      <c r="Q8" s="22">
        <f t="shared" si="1"/>
        <v>0.9031113199</v>
      </c>
    </row>
    <row r="9">
      <c r="A9" s="22" t="s">
        <v>12</v>
      </c>
      <c r="B9" s="22" t="s">
        <v>122</v>
      </c>
      <c r="C9" s="22" t="s">
        <v>13</v>
      </c>
      <c r="D9" s="22" t="s">
        <v>38</v>
      </c>
      <c r="E9" s="22" t="s">
        <v>38</v>
      </c>
      <c r="F9" s="22" t="s">
        <v>136</v>
      </c>
      <c r="G9" s="22" t="s">
        <v>15</v>
      </c>
      <c r="H9" s="22" t="s">
        <v>193</v>
      </c>
      <c r="I9" s="22">
        <v>64.0</v>
      </c>
      <c r="J9" s="22" t="s">
        <v>292</v>
      </c>
      <c r="K9" s="18">
        <v>728764.0</v>
      </c>
      <c r="L9" s="18">
        <v>7521663.0</v>
      </c>
      <c r="M9" s="18">
        <v>6792899.0</v>
      </c>
      <c r="N9" s="23">
        <v>422.43</v>
      </c>
      <c r="O9" s="25">
        <v>2255.0</v>
      </c>
      <c r="P9" s="22">
        <v>5.0</v>
      </c>
      <c r="Q9" s="22">
        <f t="shared" si="1"/>
        <v>0.9031113199</v>
      </c>
    </row>
    <row r="10">
      <c r="A10" s="22" t="s">
        <v>12</v>
      </c>
      <c r="B10" s="22" t="s">
        <v>152</v>
      </c>
      <c r="C10" s="22" t="s">
        <v>13</v>
      </c>
      <c r="D10" s="22" t="s">
        <v>38</v>
      </c>
      <c r="E10" s="22" t="s">
        <v>38</v>
      </c>
      <c r="F10" s="22" t="s">
        <v>136</v>
      </c>
      <c r="G10" s="22" t="s">
        <v>15</v>
      </c>
      <c r="H10" s="22" t="s">
        <v>232</v>
      </c>
      <c r="I10" s="22">
        <v>64.0</v>
      </c>
      <c r="J10" s="22" t="s">
        <v>293</v>
      </c>
      <c r="K10" s="18">
        <v>728764.0</v>
      </c>
      <c r="L10" s="18">
        <v>7521663.0</v>
      </c>
      <c r="M10" s="18">
        <v>6792899.0</v>
      </c>
      <c r="N10" s="23">
        <v>422.43</v>
      </c>
      <c r="O10" s="25">
        <v>2255.0</v>
      </c>
      <c r="P10" s="22">
        <v>5.0</v>
      </c>
      <c r="Q10" s="22">
        <f t="shared" si="1"/>
        <v>0.9031113199</v>
      </c>
    </row>
    <row r="11">
      <c r="A11" s="22" t="s">
        <v>25</v>
      </c>
      <c r="B11" s="22" t="s">
        <v>115</v>
      </c>
      <c r="C11" s="22" t="s">
        <v>17</v>
      </c>
      <c r="D11" s="22" t="s">
        <v>38</v>
      </c>
      <c r="E11" s="22" t="s">
        <v>38</v>
      </c>
      <c r="F11" s="22" t="s">
        <v>18</v>
      </c>
      <c r="G11" s="22" t="s">
        <v>21</v>
      </c>
      <c r="H11" s="22" t="s">
        <v>156</v>
      </c>
      <c r="I11" s="22">
        <v>52.0</v>
      </c>
      <c r="J11" s="22" t="s">
        <v>294</v>
      </c>
      <c r="K11" s="18">
        <v>1012843.0</v>
      </c>
      <c r="L11" s="18">
        <v>1.0569568E7</v>
      </c>
      <c r="M11" s="18">
        <v>9556725.0</v>
      </c>
      <c r="N11" s="23">
        <v>430.19</v>
      </c>
      <c r="O11" s="25">
        <v>3305.0</v>
      </c>
      <c r="P11" s="22">
        <v>3.0</v>
      </c>
      <c r="Q11" s="22">
        <f t="shared" si="1"/>
        <v>0.9041736616</v>
      </c>
    </row>
    <row r="12">
      <c r="A12" s="22" t="s">
        <v>25</v>
      </c>
      <c r="B12" s="22" t="s">
        <v>152</v>
      </c>
      <c r="C12" s="22" t="s">
        <v>17</v>
      </c>
      <c r="D12" s="22" t="s">
        <v>38</v>
      </c>
      <c r="E12" s="22" t="s">
        <v>69</v>
      </c>
      <c r="F12" s="22" t="s">
        <v>18</v>
      </c>
      <c r="G12" s="22" t="s">
        <v>21</v>
      </c>
      <c r="H12" s="22" t="s">
        <v>217</v>
      </c>
      <c r="I12" s="22">
        <v>52.0</v>
      </c>
      <c r="J12" s="22" t="s">
        <v>295</v>
      </c>
      <c r="K12" s="18">
        <v>1012843.0</v>
      </c>
      <c r="L12" s="18">
        <v>1.0569568E7</v>
      </c>
      <c r="M12" s="18">
        <v>9556725.0</v>
      </c>
      <c r="N12" s="23">
        <v>430.19</v>
      </c>
      <c r="O12" s="25">
        <v>3305.0</v>
      </c>
      <c r="P12" s="22">
        <v>3.0</v>
      </c>
      <c r="Q12" s="22">
        <f t="shared" si="1"/>
        <v>0.9041736616</v>
      </c>
    </row>
    <row r="13">
      <c r="A13" s="22" t="s">
        <v>25</v>
      </c>
      <c r="B13" s="22" t="s">
        <v>221</v>
      </c>
      <c r="C13" s="22" t="s">
        <v>17</v>
      </c>
      <c r="D13" s="22" t="s">
        <v>38</v>
      </c>
      <c r="E13" s="22" t="s">
        <v>69</v>
      </c>
      <c r="F13" s="22" t="s">
        <v>18</v>
      </c>
      <c r="G13" s="22" t="s">
        <v>21</v>
      </c>
      <c r="H13" s="22" t="s">
        <v>197</v>
      </c>
      <c r="I13" s="22">
        <v>52.0</v>
      </c>
      <c r="J13" s="22" t="s">
        <v>296</v>
      </c>
      <c r="K13" s="18">
        <v>1012843.0</v>
      </c>
      <c r="L13" s="18">
        <v>1.0569568E7</v>
      </c>
      <c r="M13" s="18">
        <v>9556725.0</v>
      </c>
      <c r="N13" s="23">
        <v>430.19</v>
      </c>
      <c r="O13" s="25">
        <v>3305.0</v>
      </c>
      <c r="P13" s="22">
        <v>3.0</v>
      </c>
      <c r="Q13" s="22">
        <f t="shared" si="1"/>
        <v>0.9041736616</v>
      </c>
    </row>
    <row r="14">
      <c r="A14" s="22" t="s">
        <v>29</v>
      </c>
      <c r="B14" s="22" t="s">
        <v>115</v>
      </c>
      <c r="C14" s="22" t="s">
        <v>13</v>
      </c>
      <c r="D14" s="22" t="s">
        <v>38</v>
      </c>
      <c r="E14" s="22" t="s">
        <v>38</v>
      </c>
      <c r="F14" s="22" t="s">
        <v>14</v>
      </c>
      <c r="G14" s="22" t="s">
        <v>19</v>
      </c>
      <c r="H14" s="22" t="s">
        <v>208</v>
      </c>
      <c r="I14" s="22">
        <v>58.0</v>
      </c>
      <c r="J14" s="22" t="s">
        <v>213</v>
      </c>
      <c r="K14" s="18">
        <v>846367.0</v>
      </c>
      <c r="L14" s="18">
        <v>9875416.0</v>
      </c>
      <c r="M14" s="18">
        <v>9029049.0</v>
      </c>
      <c r="N14" s="23">
        <v>571.8</v>
      </c>
      <c r="O14" s="25">
        <v>573.0</v>
      </c>
      <c r="P14" s="22">
        <v>1.0</v>
      </c>
      <c r="Q14" s="22">
        <f t="shared" si="1"/>
        <v>0.9142955598</v>
      </c>
    </row>
    <row r="15">
      <c r="A15" s="22" t="s">
        <v>29</v>
      </c>
      <c r="B15" s="22" t="s">
        <v>152</v>
      </c>
      <c r="C15" s="22" t="s">
        <v>13</v>
      </c>
      <c r="D15" s="22" t="s">
        <v>38</v>
      </c>
      <c r="E15" s="22" t="s">
        <v>38</v>
      </c>
      <c r="F15" s="22" t="s">
        <v>14</v>
      </c>
      <c r="G15" s="22" t="s">
        <v>19</v>
      </c>
      <c r="H15" s="22" t="s">
        <v>165</v>
      </c>
      <c r="I15" s="22">
        <v>58.0</v>
      </c>
      <c r="J15" s="22" t="s">
        <v>214</v>
      </c>
      <c r="K15" s="18">
        <v>846367.0</v>
      </c>
      <c r="L15" s="18">
        <v>9875416.0</v>
      </c>
      <c r="M15" s="18">
        <v>9029049.0</v>
      </c>
      <c r="N15" s="23">
        <v>571.8</v>
      </c>
      <c r="O15" s="25">
        <v>573.0</v>
      </c>
      <c r="P15" s="22">
        <v>1.0</v>
      </c>
      <c r="Q15" s="22">
        <f t="shared" si="1"/>
        <v>0.9142955598</v>
      </c>
    </row>
    <row r="16">
      <c r="A16" s="22" t="s">
        <v>29</v>
      </c>
      <c r="B16" s="22" t="s">
        <v>122</v>
      </c>
      <c r="C16" s="22" t="s">
        <v>13</v>
      </c>
      <c r="D16" s="22" t="s">
        <v>38</v>
      </c>
      <c r="E16" s="22" t="s">
        <v>69</v>
      </c>
      <c r="F16" s="22" t="s">
        <v>14</v>
      </c>
      <c r="G16" s="22" t="s">
        <v>19</v>
      </c>
      <c r="H16" s="22" t="s">
        <v>201</v>
      </c>
      <c r="I16" s="22">
        <v>58.0</v>
      </c>
      <c r="J16" s="22" t="s">
        <v>260</v>
      </c>
      <c r="K16" s="18">
        <v>846367.0</v>
      </c>
      <c r="L16" s="18">
        <v>9875416.0</v>
      </c>
      <c r="M16" s="18">
        <v>9029049.0</v>
      </c>
      <c r="N16" s="23">
        <v>571.8</v>
      </c>
      <c r="O16" s="25">
        <v>573.0</v>
      </c>
      <c r="P16" s="22">
        <v>1.0</v>
      </c>
      <c r="Q16" s="22">
        <f t="shared" si="1"/>
        <v>0.9142955598</v>
      </c>
    </row>
    <row r="17">
      <c r="A17" s="22" t="s">
        <v>20</v>
      </c>
      <c r="B17" s="22" t="s">
        <v>115</v>
      </c>
      <c r="C17" s="22" t="s">
        <v>17</v>
      </c>
      <c r="D17" s="22" t="s">
        <v>38</v>
      </c>
      <c r="E17" s="22" t="s">
        <v>38</v>
      </c>
      <c r="F17" s="22" t="s">
        <v>14</v>
      </c>
      <c r="G17" s="22" t="s">
        <v>21</v>
      </c>
      <c r="H17" s="22" t="s">
        <v>228</v>
      </c>
      <c r="I17" s="22">
        <v>49.0</v>
      </c>
      <c r="J17" s="22" t="s">
        <v>223</v>
      </c>
      <c r="K17" s="18">
        <v>521914.0</v>
      </c>
      <c r="L17" s="18">
        <v>6808930.0</v>
      </c>
      <c r="M17" s="18">
        <v>6287016.0</v>
      </c>
      <c r="N17" s="23">
        <v>360.8</v>
      </c>
      <c r="O17" s="25">
        <v>1335.0</v>
      </c>
      <c r="P17" s="22">
        <v>7.0</v>
      </c>
      <c r="Q17" s="22">
        <f t="shared" si="1"/>
        <v>0.9233486025</v>
      </c>
    </row>
    <row r="18">
      <c r="A18" s="22" t="s">
        <v>20</v>
      </c>
      <c r="B18" s="22" t="s">
        <v>130</v>
      </c>
      <c r="C18" s="22" t="s">
        <v>13</v>
      </c>
      <c r="D18" s="22" t="s">
        <v>38</v>
      </c>
      <c r="E18" s="22" t="s">
        <v>69</v>
      </c>
      <c r="F18" s="22" t="s">
        <v>136</v>
      </c>
      <c r="G18" s="22" t="s">
        <v>19</v>
      </c>
      <c r="H18" s="22" t="s">
        <v>39</v>
      </c>
      <c r="I18" s="22">
        <v>49.0</v>
      </c>
      <c r="J18" s="22" t="s">
        <v>227</v>
      </c>
      <c r="K18" s="18">
        <v>521914.0</v>
      </c>
      <c r="L18" s="18">
        <v>6808930.0</v>
      </c>
      <c r="M18" s="18">
        <v>6287016.0</v>
      </c>
      <c r="N18" s="23">
        <v>360.8</v>
      </c>
      <c r="O18" s="25">
        <v>1335.0</v>
      </c>
      <c r="P18" s="22">
        <v>7.0</v>
      </c>
      <c r="Q18" s="22">
        <f t="shared" si="1"/>
        <v>0.9233486025</v>
      </c>
    </row>
    <row r="19">
      <c r="A19" s="22" t="s">
        <v>20</v>
      </c>
      <c r="B19" s="22" t="s">
        <v>221</v>
      </c>
      <c r="C19" s="22" t="s">
        <v>13</v>
      </c>
      <c r="D19" s="22" t="s">
        <v>38</v>
      </c>
      <c r="E19" s="22" t="s">
        <v>38</v>
      </c>
      <c r="F19" s="22" t="s">
        <v>136</v>
      </c>
      <c r="G19" s="22" t="s">
        <v>15</v>
      </c>
      <c r="H19" s="22" t="s">
        <v>243</v>
      </c>
      <c r="I19" s="22">
        <v>49.0</v>
      </c>
      <c r="J19" s="22" t="s">
        <v>285</v>
      </c>
      <c r="K19" s="18">
        <v>521914.0</v>
      </c>
      <c r="L19" s="18">
        <v>6808930.0</v>
      </c>
      <c r="M19" s="18">
        <v>6287016.0</v>
      </c>
      <c r="N19" s="23">
        <v>360.8</v>
      </c>
      <c r="O19" s="25">
        <v>1335.0</v>
      </c>
      <c r="P19" s="22">
        <v>7.0</v>
      </c>
      <c r="Q19" s="22">
        <f t="shared" si="1"/>
        <v>0.9233486025</v>
      </c>
    </row>
    <row r="20">
      <c r="A20" s="22" t="s">
        <v>20</v>
      </c>
      <c r="B20" s="22" t="s">
        <v>122</v>
      </c>
      <c r="C20" s="22" t="s">
        <v>13</v>
      </c>
      <c r="D20" s="22" t="s">
        <v>38</v>
      </c>
      <c r="E20" s="22" t="s">
        <v>38</v>
      </c>
      <c r="F20" s="22" t="s">
        <v>136</v>
      </c>
      <c r="G20" s="22" t="s">
        <v>21</v>
      </c>
      <c r="H20" s="22" t="s">
        <v>169</v>
      </c>
      <c r="I20" s="22">
        <v>49.0</v>
      </c>
      <c r="J20" s="22" t="s">
        <v>297</v>
      </c>
      <c r="K20" s="18">
        <v>521914.0</v>
      </c>
      <c r="L20" s="18">
        <v>6808930.0</v>
      </c>
      <c r="M20" s="18">
        <v>6287016.0</v>
      </c>
      <c r="N20" s="23">
        <v>360.8</v>
      </c>
      <c r="O20" s="25">
        <v>1335.0</v>
      </c>
      <c r="P20" s="22">
        <v>7.0</v>
      </c>
      <c r="Q20" s="22">
        <f t="shared" si="1"/>
        <v>0.9233486025</v>
      </c>
    </row>
    <row r="21">
      <c r="A21" s="22" t="s">
        <v>27</v>
      </c>
      <c r="B21" s="22" t="s">
        <v>115</v>
      </c>
      <c r="C21" s="22" t="s">
        <v>13</v>
      </c>
      <c r="D21" s="22" t="s">
        <v>38</v>
      </c>
      <c r="E21" s="22" t="s">
        <v>38</v>
      </c>
      <c r="F21" s="22" t="s">
        <v>14</v>
      </c>
      <c r="G21" s="22" t="s">
        <v>15</v>
      </c>
      <c r="H21" s="22" t="s">
        <v>66</v>
      </c>
      <c r="I21" s="22">
        <v>40.0</v>
      </c>
      <c r="J21" s="22" t="s">
        <v>247</v>
      </c>
      <c r="K21" s="18">
        <v>378049.0</v>
      </c>
      <c r="L21" s="18">
        <v>5558248.0</v>
      </c>
      <c r="M21" s="18">
        <v>5180199.0</v>
      </c>
      <c r="N21" s="23">
        <v>347.79</v>
      </c>
      <c r="O21" s="22">
        <v>336.0</v>
      </c>
      <c r="P21" s="22">
        <v>8.0</v>
      </c>
      <c r="Q21" s="22">
        <f t="shared" si="1"/>
        <v>0.9319841432</v>
      </c>
    </row>
    <row r="22">
      <c r="A22" s="22" t="s">
        <v>27</v>
      </c>
      <c r="B22" s="22" t="s">
        <v>130</v>
      </c>
      <c r="C22" s="22" t="s">
        <v>13</v>
      </c>
      <c r="D22" s="22" t="s">
        <v>38</v>
      </c>
      <c r="E22" s="22" t="s">
        <v>38</v>
      </c>
      <c r="F22" s="22" t="s">
        <v>14</v>
      </c>
      <c r="G22" s="22" t="s">
        <v>15</v>
      </c>
      <c r="H22" s="22" t="s">
        <v>39</v>
      </c>
      <c r="I22" s="22">
        <v>40.0</v>
      </c>
      <c r="J22" s="22" t="s">
        <v>298</v>
      </c>
      <c r="K22" s="18">
        <v>378049.0</v>
      </c>
      <c r="L22" s="18">
        <v>5558248.0</v>
      </c>
      <c r="M22" s="18">
        <v>5180199.0</v>
      </c>
      <c r="N22" s="23">
        <v>347.79</v>
      </c>
      <c r="O22" s="22">
        <v>336.0</v>
      </c>
      <c r="P22" s="22">
        <v>8.0</v>
      </c>
      <c r="Q22" s="22">
        <f t="shared" si="1"/>
        <v>0.9319841432</v>
      </c>
    </row>
    <row r="23">
      <c r="A23" s="22" t="s">
        <v>24</v>
      </c>
      <c r="B23" s="22" t="s">
        <v>115</v>
      </c>
      <c r="C23" s="22" t="s">
        <v>17</v>
      </c>
      <c r="D23" s="22" t="s">
        <v>38</v>
      </c>
      <c r="E23" s="22" t="s">
        <v>38</v>
      </c>
      <c r="F23" s="22" t="s">
        <v>14</v>
      </c>
      <c r="G23" s="22" t="s">
        <v>21</v>
      </c>
      <c r="H23" s="22" t="s">
        <v>78</v>
      </c>
      <c r="I23" s="22">
        <v>53.0</v>
      </c>
      <c r="J23" s="22" t="s">
        <v>247</v>
      </c>
      <c r="K23" s="18">
        <v>262068.0</v>
      </c>
      <c r="L23" s="18">
        <v>5469581.0</v>
      </c>
      <c r="M23" s="18">
        <v>5207513.0</v>
      </c>
      <c r="N23" s="23">
        <v>299.92</v>
      </c>
      <c r="O23" s="22">
        <v>336.0</v>
      </c>
      <c r="P23" s="22">
        <v>10.0</v>
      </c>
      <c r="Q23" s="22">
        <f t="shared" si="1"/>
        <v>0.952086275</v>
      </c>
    </row>
    <row r="24">
      <c r="A24" s="22" t="s">
        <v>24</v>
      </c>
      <c r="B24" s="22" t="s">
        <v>130</v>
      </c>
      <c r="C24" s="22" t="s">
        <v>17</v>
      </c>
      <c r="D24" s="22" t="s">
        <v>38</v>
      </c>
      <c r="E24" s="22" t="s">
        <v>38</v>
      </c>
      <c r="F24" s="22" t="s">
        <v>14</v>
      </c>
      <c r="G24" s="22" t="s">
        <v>19</v>
      </c>
      <c r="H24" s="22" t="s">
        <v>283</v>
      </c>
      <c r="I24" s="22">
        <v>53.0</v>
      </c>
      <c r="J24" s="22" t="s">
        <v>299</v>
      </c>
      <c r="K24" s="18">
        <v>262068.0</v>
      </c>
      <c r="L24" s="18">
        <v>5469581.0</v>
      </c>
      <c r="M24" s="18">
        <v>5207513.0</v>
      </c>
      <c r="N24" s="23">
        <v>299.92</v>
      </c>
      <c r="O24" s="22">
        <v>336.0</v>
      </c>
      <c r="P24" s="22">
        <v>10.0</v>
      </c>
      <c r="Q24" s="22">
        <f t="shared" si="1"/>
        <v>0.952086275</v>
      </c>
    </row>
    <row r="25">
      <c r="A25" s="22" t="s">
        <v>31</v>
      </c>
      <c r="B25" s="22" t="s">
        <v>115</v>
      </c>
      <c r="C25" s="22" t="s">
        <v>13</v>
      </c>
      <c r="D25" s="22" t="s">
        <v>38</v>
      </c>
      <c r="E25" s="22" t="s">
        <v>38</v>
      </c>
      <c r="F25" s="22" t="s">
        <v>136</v>
      </c>
      <c r="G25" s="22" t="s">
        <v>273</v>
      </c>
      <c r="H25" s="22" t="s">
        <v>168</v>
      </c>
      <c r="I25" s="22">
        <v>54.0</v>
      </c>
      <c r="J25" s="22" t="s">
        <v>300</v>
      </c>
      <c r="K25" s="18">
        <v>196506.0</v>
      </c>
      <c r="L25" s="18">
        <v>6202694.0</v>
      </c>
      <c r="M25" s="18">
        <v>6006188.0</v>
      </c>
      <c r="N25" s="23">
        <v>226.28</v>
      </c>
      <c r="O25" s="25">
        <v>3310.0</v>
      </c>
      <c r="P25" s="22">
        <v>11.0</v>
      </c>
      <c r="Q25" s="22">
        <f t="shared" si="1"/>
        <v>0.9683192497</v>
      </c>
    </row>
    <row r="26">
      <c r="A26" s="22" t="s">
        <v>31</v>
      </c>
      <c r="B26" s="22" t="s">
        <v>130</v>
      </c>
      <c r="C26" s="22" t="s">
        <v>13</v>
      </c>
      <c r="D26" s="22" t="s">
        <v>38</v>
      </c>
      <c r="E26" s="22" t="s">
        <v>38</v>
      </c>
      <c r="F26" s="22" t="s">
        <v>136</v>
      </c>
      <c r="G26" s="22" t="s">
        <v>273</v>
      </c>
      <c r="H26" s="22" t="s">
        <v>222</v>
      </c>
      <c r="I26" s="22">
        <v>54.0</v>
      </c>
      <c r="J26" s="22" t="s">
        <v>301</v>
      </c>
      <c r="K26" s="18">
        <v>196506.0</v>
      </c>
      <c r="L26" s="18">
        <v>6202694.0</v>
      </c>
      <c r="M26" s="18">
        <v>6006188.0</v>
      </c>
      <c r="N26" s="23">
        <v>226.28</v>
      </c>
      <c r="O26" s="25">
        <v>3310.0</v>
      </c>
      <c r="P26" s="22">
        <v>11.0</v>
      </c>
      <c r="Q26" s="22">
        <f t="shared" si="1"/>
        <v>0.9683192497</v>
      </c>
    </row>
    <row r="27">
      <c r="A27" s="22" t="s">
        <v>31</v>
      </c>
      <c r="B27" s="22" t="s">
        <v>221</v>
      </c>
      <c r="C27" s="22" t="s">
        <v>13</v>
      </c>
      <c r="D27" s="22" t="s">
        <v>38</v>
      </c>
      <c r="E27" s="22" t="s">
        <v>38</v>
      </c>
      <c r="F27" s="22" t="s">
        <v>14</v>
      </c>
      <c r="G27" s="22" t="s">
        <v>137</v>
      </c>
      <c r="H27" s="22" t="s">
        <v>259</v>
      </c>
      <c r="I27" s="22">
        <v>54.0</v>
      </c>
      <c r="J27" s="22" t="s">
        <v>216</v>
      </c>
      <c r="K27" s="18">
        <v>196506.0</v>
      </c>
      <c r="L27" s="18">
        <v>6202694.0</v>
      </c>
      <c r="M27" s="18">
        <v>6006188.0</v>
      </c>
      <c r="N27" s="23">
        <v>226.28</v>
      </c>
      <c r="O27" s="25">
        <v>3310.0</v>
      </c>
      <c r="P27" s="22">
        <v>11.0</v>
      </c>
      <c r="Q27" s="22">
        <f t="shared" si="1"/>
        <v>0.9683192497</v>
      </c>
    </row>
    <row r="28">
      <c r="A28" s="22" t="s">
        <v>16</v>
      </c>
      <c r="B28" s="22" t="s">
        <v>115</v>
      </c>
      <c r="C28" s="22" t="s">
        <v>17</v>
      </c>
      <c r="D28" s="23" t="s">
        <v>38</v>
      </c>
      <c r="E28" s="22" t="s">
        <v>38</v>
      </c>
      <c r="F28" s="22" t="s">
        <v>136</v>
      </c>
      <c r="G28" s="22" t="s">
        <v>137</v>
      </c>
      <c r="H28" s="22" t="s">
        <v>42</v>
      </c>
      <c r="I28" s="22">
        <v>64.0</v>
      </c>
      <c r="J28" s="22" t="s">
        <v>302</v>
      </c>
      <c r="K28" s="18">
        <v>246619.0</v>
      </c>
      <c r="L28" s="18">
        <v>8422978.0</v>
      </c>
      <c r="M28" s="18">
        <v>8176359.0</v>
      </c>
      <c r="N28" s="23">
        <v>190.66</v>
      </c>
      <c r="O28" s="25">
        <v>1903.0</v>
      </c>
      <c r="P28" s="22">
        <v>12.0</v>
      </c>
      <c r="Q28" s="22">
        <f t="shared" si="1"/>
        <v>0.9707206881</v>
      </c>
    </row>
    <row r="29">
      <c r="A29" s="22" t="s">
        <v>16</v>
      </c>
      <c r="B29" s="22" t="s">
        <v>130</v>
      </c>
      <c r="C29" s="22" t="s">
        <v>17</v>
      </c>
      <c r="D29" s="22" t="s">
        <v>38</v>
      </c>
      <c r="E29" s="22" t="s">
        <v>69</v>
      </c>
      <c r="F29" s="22" t="s">
        <v>18</v>
      </c>
      <c r="G29" s="22" t="s">
        <v>19</v>
      </c>
      <c r="H29" s="22" t="s">
        <v>192</v>
      </c>
      <c r="I29" s="22">
        <v>64.0</v>
      </c>
      <c r="J29" s="22" t="s">
        <v>303</v>
      </c>
      <c r="K29" s="18">
        <v>246619.0</v>
      </c>
      <c r="L29" s="18">
        <v>8422978.0</v>
      </c>
      <c r="M29" s="18">
        <v>8176359.0</v>
      </c>
      <c r="N29" s="23">
        <v>190.66</v>
      </c>
      <c r="O29" s="25">
        <v>1903.0</v>
      </c>
      <c r="P29" s="22">
        <v>12.0</v>
      </c>
      <c r="Q29" s="22">
        <f t="shared" si="1"/>
        <v>0.9707206881</v>
      </c>
    </row>
    <row r="30">
      <c r="A30" s="22" t="s">
        <v>23</v>
      </c>
      <c r="B30" s="22" t="s">
        <v>115</v>
      </c>
      <c r="C30" s="22" t="s">
        <v>13</v>
      </c>
      <c r="D30" s="22" t="s">
        <v>38</v>
      </c>
      <c r="E30" s="22" t="s">
        <v>38</v>
      </c>
      <c r="F30" s="22" t="s">
        <v>136</v>
      </c>
      <c r="G30" s="22" t="s">
        <v>273</v>
      </c>
      <c r="H30" s="22" t="s">
        <v>222</v>
      </c>
      <c r="I30" s="22">
        <v>68.0</v>
      </c>
      <c r="J30" s="22" t="s">
        <v>304</v>
      </c>
      <c r="K30" s="18">
        <v>219250.0</v>
      </c>
      <c r="L30" s="18">
        <v>7661379.0</v>
      </c>
      <c r="M30" s="18">
        <v>7442129.0</v>
      </c>
      <c r="N30" s="23">
        <v>431.22</v>
      </c>
      <c r="O30" s="22">
        <v>436.0</v>
      </c>
      <c r="P30" s="22">
        <v>2.0</v>
      </c>
      <c r="Q30" s="22">
        <f t="shared" si="1"/>
        <v>0.9713824365</v>
      </c>
    </row>
    <row r="31">
      <c r="A31" s="22" t="s">
        <v>23</v>
      </c>
      <c r="B31" s="22" t="s">
        <v>221</v>
      </c>
      <c r="C31" s="22" t="s">
        <v>13</v>
      </c>
      <c r="D31" s="22" t="s">
        <v>38</v>
      </c>
      <c r="E31" s="22" t="s">
        <v>38</v>
      </c>
      <c r="F31" s="22" t="s">
        <v>136</v>
      </c>
      <c r="G31" s="22" t="s">
        <v>273</v>
      </c>
      <c r="H31" s="22" t="s">
        <v>232</v>
      </c>
      <c r="I31" s="22">
        <v>68.0</v>
      </c>
      <c r="J31" s="22" t="s">
        <v>305</v>
      </c>
      <c r="K31" s="18">
        <v>219250.0</v>
      </c>
      <c r="L31" s="18">
        <v>7661379.0</v>
      </c>
      <c r="M31" s="18">
        <v>7442129.0</v>
      </c>
      <c r="N31" s="23">
        <v>431.22</v>
      </c>
      <c r="O31" s="22">
        <v>436.0</v>
      </c>
      <c r="P31" s="22">
        <v>2.0</v>
      </c>
      <c r="Q31" s="22">
        <f t="shared" si="1"/>
        <v>0.9713824365</v>
      </c>
    </row>
    <row r="32">
      <c r="A32" s="22" t="s">
        <v>23</v>
      </c>
      <c r="B32" s="22" t="s">
        <v>122</v>
      </c>
      <c r="C32" s="22" t="s">
        <v>13</v>
      </c>
      <c r="D32" s="22" t="s">
        <v>38</v>
      </c>
      <c r="E32" s="22" t="s">
        <v>38</v>
      </c>
      <c r="F32" s="22" t="s">
        <v>136</v>
      </c>
      <c r="G32" s="22" t="s">
        <v>273</v>
      </c>
      <c r="H32" s="22" t="s">
        <v>275</v>
      </c>
      <c r="I32" s="22">
        <v>68.0</v>
      </c>
      <c r="J32" s="22" t="s">
        <v>276</v>
      </c>
      <c r="K32" s="18">
        <v>219250.0</v>
      </c>
      <c r="L32" s="18">
        <v>7661379.0</v>
      </c>
      <c r="M32" s="18">
        <v>7442129.0</v>
      </c>
      <c r="N32" s="23">
        <v>431.22</v>
      </c>
      <c r="O32" s="22">
        <v>436.0</v>
      </c>
      <c r="P32" s="22">
        <v>2.0</v>
      </c>
      <c r="Q32" s="22">
        <f t="shared" si="1"/>
        <v>0.9713824365</v>
      </c>
    </row>
    <row r="33">
      <c r="A33" s="22" t="s">
        <v>30</v>
      </c>
      <c r="B33" s="23" t="s">
        <v>115</v>
      </c>
      <c r="C33" s="22" t="s">
        <v>13</v>
      </c>
      <c r="D33" s="22" t="s">
        <v>38</v>
      </c>
      <c r="E33" s="23" t="s">
        <v>38</v>
      </c>
      <c r="F33" s="22" t="s">
        <v>136</v>
      </c>
      <c r="G33" s="22" t="s">
        <v>137</v>
      </c>
      <c r="H33" s="22" t="s">
        <v>63</v>
      </c>
      <c r="I33" s="22">
        <v>52.0</v>
      </c>
      <c r="J33" s="22" t="s">
        <v>253</v>
      </c>
      <c r="K33" s="18">
        <v>127354.0</v>
      </c>
      <c r="L33" s="18">
        <v>6480650.0</v>
      </c>
      <c r="M33" s="18">
        <v>6353296.0</v>
      </c>
      <c r="N33" s="23">
        <v>172.45</v>
      </c>
      <c r="O33" s="22">
        <v>364.0</v>
      </c>
      <c r="P33" s="22">
        <v>13.0</v>
      </c>
      <c r="Q33" s="22">
        <f t="shared" si="1"/>
        <v>0.9803485761</v>
      </c>
    </row>
    <row r="34">
      <c r="A34" s="22" t="s">
        <v>30</v>
      </c>
      <c r="B34" s="22" t="s">
        <v>130</v>
      </c>
      <c r="C34" s="22" t="s">
        <v>13</v>
      </c>
      <c r="D34" s="23" t="s">
        <v>38</v>
      </c>
      <c r="E34" s="22" t="s">
        <v>38</v>
      </c>
      <c r="F34" s="22" t="s">
        <v>136</v>
      </c>
      <c r="G34" s="23" t="s">
        <v>137</v>
      </c>
      <c r="H34" s="22" t="s">
        <v>189</v>
      </c>
      <c r="I34" s="22">
        <v>52.0</v>
      </c>
      <c r="J34" s="22" t="s">
        <v>266</v>
      </c>
      <c r="K34" s="18">
        <v>127354.0</v>
      </c>
      <c r="L34" s="18">
        <v>6480650.0</v>
      </c>
      <c r="M34" s="18">
        <v>6353296.0</v>
      </c>
      <c r="N34" s="23">
        <v>172.45</v>
      </c>
      <c r="O34" s="22">
        <v>364.0</v>
      </c>
      <c r="P34" s="22">
        <v>13.0</v>
      </c>
      <c r="Q34" s="22">
        <f t="shared" si="1"/>
        <v>0.9803485761</v>
      </c>
    </row>
    <row r="35">
      <c r="A35" s="22" t="s">
        <v>28</v>
      </c>
      <c r="B35" s="22" t="s">
        <v>115</v>
      </c>
      <c r="C35" s="22" t="s">
        <v>13</v>
      </c>
      <c r="D35" s="22" t="s">
        <v>38</v>
      </c>
      <c r="E35" s="22" t="s">
        <v>38</v>
      </c>
      <c r="F35" s="22" t="s">
        <v>136</v>
      </c>
      <c r="G35" s="22" t="s">
        <v>19</v>
      </c>
      <c r="H35" s="22" t="s">
        <v>286</v>
      </c>
      <c r="I35" s="22">
        <v>50.0</v>
      </c>
      <c r="J35" s="22" t="s">
        <v>306</v>
      </c>
      <c r="K35" s="18">
        <v>4759.0</v>
      </c>
      <c r="L35" s="18">
        <v>6496104.0</v>
      </c>
      <c r="M35" s="18">
        <v>6491345.0</v>
      </c>
      <c r="N35" s="23">
        <v>75.15</v>
      </c>
      <c r="O35" s="25">
        <v>3989.0</v>
      </c>
      <c r="P35" s="22">
        <v>15.0</v>
      </c>
      <c r="Q35" s="22">
        <f t="shared" si="1"/>
        <v>0.999267407</v>
      </c>
    </row>
    <row r="36">
      <c r="A36" s="22" t="s">
        <v>28</v>
      </c>
      <c r="B36" s="22" t="s">
        <v>130</v>
      </c>
      <c r="C36" s="22" t="s">
        <v>13</v>
      </c>
      <c r="D36" s="22" t="s">
        <v>38</v>
      </c>
      <c r="E36" s="22" t="s">
        <v>69</v>
      </c>
      <c r="F36" s="22" t="s">
        <v>136</v>
      </c>
      <c r="G36" s="22" t="s">
        <v>19</v>
      </c>
      <c r="H36" s="22" t="s">
        <v>172</v>
      </c>
      <c r="I36" s="22">
        <v>50.0</v>
      </c>
      <c r="J36" s="22" t="s">
        <v>307</v>
      </c>
      <c r="K36" s="18">
        <v>4759.0</v>
      </c>
      <c r="L36" s="18">
        <v>6496104.0</v>
      </c>
      <c r="M36" s="18">
        <v>6491345.0</v>
      </c>
      <c r="N36" s="23">
        <v>75.15</v>
      </c>
      <c r="O36" s="25">
        <v>3989.0</v>
      </c>
      <c r="P36" s="22">
        <v>15.0</v>
      </c>
      <c r="Q36" s="22">
        <f t="shared" si="1"/>
        <v>0.999267407</v>
      </c>
    </row>
    <row r="37">
      <c r="A37" s="22" t="s">
        <v>32</v>
      </c>
      <c r="B37" s="22" t="s">
        <v>115</v>
      </c>
      <c r="C37" s="22" t="s">
        <v>17</v>
      </c>
      <c r="D37" s="22" t="s">
        <v>38</v>
      </c>
      <c r="E37" s="22" t="s">
        <v>38</v>
      </c>
      <c r="F37" s="22" t="s">
        <v>14</v>
      </c>
      <c r="G37" s="22" t="s">
        <v>15</v>
      </c>
      <c r="H37" s="22" t="s">
        <v>264</v>
      </c>
      <c r="I37" s="22">
        <v>60.0</v>
      </c>
      <c r="J37" s="22" t="s">
        <v>257</v>
      </c>
      <c r="K37" s="18">
        <v>-222774.0</v>
      </c>
      <c r="L37" s="18">
        <v>3752982.0</v>
      </c>
      <c r="M37" s="18">
        <v>3975756.0</v>
      </c>
      <c r="N37" s="23">
        <v>77.01</v>
      </c>
      <c r="O37" s="25">
        <v>1304.0</v>
      </c>
      <c r="P37" s="22">
        <v>14.0</v>
      </c>
      <c r="Q37" s="22">
        <f t="shared" si="1"/>
        <v>1.059359198</v>
      </c>
    </row>
    <row r="38">
      <c r="A38" s="22" t="s">
        <v>32</v>
      </c>
      <c r="B38" s="22" t="s">
        <v>115</v>
      </c>
      <c r="C38" s="22" t="s">
        <v>13</v>
      </c>
      <c r="D38" s="22" t="s">
        <v>38</v>
      </c>
      <c r="E38" s="22" t="s">
        <v>38</v>
      </c>
      <c r="F38" s="22" t="s">
        <v>14</v>
      </c>
      <c r="G38" s="22" t="s">
        <v>15</v>
      </c>
      <c r="H38" s="22" t="s">
        <v>184</v>
      </c>
      <c r="I38" s="22">
        <v>60.0</v>
      </c>
      <c r="J38" s="22" t="s">
        <v>220</v>
      </c>
      <c r="K38" s="18">
        <v>-222774.0</v>
      </c>
      <c r="L38" s="18">
        <v>3752982.0</v>
      </c>
      <c r="M38" s="18">
        <v>3975756.0</v>
      </c>
      <c r="N38" s="23">
        <v>77.01</v>
      </c>
      <c r="O38" s="25">
        <v>1304.0</v>
      </c>
      <c r="P38" s="22">
        <v>14.0</v>
      </c>
      <c r="Q38" s="22">
        <f t="shared" si="1"/>
        <v>1.059359198</v>
      </c>
    </row>
    <row r="39">
      <c r="A39" s="22" t="s">
        <v>32</v>
      </c>
      <c r="B39" s="22" t="s">
        <v>130</v>
      </c>
      <c r="C39" s="22" t="s">
        <v>17</v>
      </c>
      <c r="D39" s="22" t="s">
        <v>38</v>
      </c>
      <c r="E39" s="22" t="s">
        <v>38</v>
      </c>
      <c r="F39" s="22" t="s">
        <v>14</v>
      </c>
      <c r="G39" s="22" t="s">
        <v>15</v>
      </c>
      <c r="H39" s="22" t="s">
        <v>182</v>
      </c>
      <c r="I39" s="22">
        <v>60.0</v>
      </c>
      <c r="J39" s="22" t="s">
        <v>308</v>
      </c>
      <c r="K39" s="18">
        <v>-222774.0</v>
      </c>
      <c r="L39" s="18">
        <v>3752982.0</v>
      </c>
      <c r="M39" s="18">
        <v>3975756.0</v>
      </c>
      <c r="N39" s="23">
        <v>77.01</v>
      </c>
      <c r="O39" s="25">
        <v>1304.0</v>
      </c>
      <c r="P39" s="22">
        <v>14.0</v>
      </c>
      <c r="Q39" s="22">
        <f t="shared" si="1"/>
        <v>1.059359198</v>
      </c>
    </row>
    <row r="40">
      <c r="A40" s="23" t="s">
        <v>33</v>
      </c>
      <c r="B40" s="22" t="s">
        <v>115</v>
      </c>
      <c r="C40" s="23" t="s">
        <v>13</v>
      </c>
      <c r="D40" s="22" t="s">
        <v>38</v>
      </c>
      <c r="E40" s="22" t="s">
        <v>38</v>
      </c>
      <c r="F40" s="23" t="s">
        <v>136</v>
      </c>
      <c r="G40" s="22" t="s">
        <v>15</v>
      </c>
      <c r="H40" s="22" t="s">
        <v>172</v>
      </c>
      <c r="I40" s="22">
        <v>46.0</v>
      </c>
      <c r="J40" s="22" t="s">
        <v>309</v>
      </c>
      <c r="K40" s="18">
        <v>-340948.0</v>
      </c>
      <c r="L40" s="18">
        <v>1395314.0</v>
      </c>
      <c r="M40" s="18">
        <v>1736262.0</v>
      </c>
      <c r="N40" s="23">
        <v>345.87</v>
      </c>
      <c r="O40" s="25">
        <v>8912.0</v>
      </c>
      <c r="P40" s="22">
        <v>9.0</v>
      </c>
      <c r="Q40" s="22">
        <f t="shared" si="1"/>
        <v>1.244352167</v>
      </c>
    </row>
    <row r="41">
      <c r="A41" s="22" t="s">
        <v>33</v>
      </c>
      <c r="B41" s="23" t="s">
        <v>130</v>
      </c>
      <c r="C41" s="22" t="s">
        <v>13</v>
      </c>
      <c r="D41" s="22" t="s">
        <v>38</v>
      </c>
      <c r="E41" s="23" t="s">
        <v>38</v>
      </c>
      <c r="F41" s="22" t="s">
        <v>136</v>
      </c>
      <c r="G41" s="22" t="s">
        <v>137</v>
      </c>
      <c r="H41" s="22" t="s">
        <v>172</v>
      </c>
      <c r="I41" s="22">
        <v>46.0</v>
      </c>
      <c r="J41" s="22" t="s">
        <v>280</v>
      </c>
      <c r="K41" s="18">
        <v>-340948.0</v>
      </c>
      <c r="L41" s="18">
        <v>1395314.0</v>
      </c>
      <c r="M41" s="18">
        <v>1736262.0</v>
      </c>
      <c r="N41" s="23">
        <v>345.87</v>
      </c>
      <c r="O41" s="25">
        <v>8912.0</v>
      </c>
      <c r="P41" s="22">
        <v>9.0</v>
      </c>
      <c r="Q41" s="22">
        <f t="shared" si="1"/>
        <v>1.244352167</v>
      </c>
    </row>
  </sheetData>
  <autoFilter ref="$A$1:$Q$41">
    <sortState ref="A1:Q41">
      <sortCondition ref="Q1:Q41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310</v>
      </c>
      <c r="C1" s="1" t="s">
        <v>311</v>
      </c>
      <c r="D1" s="1" t="s">
        <v>312</v>
      </c>
      <c r="N1" s="2" t="s">
        <v>7</v>
      </c>
      <c r="R1" s="1" t="s">
        <v>114</v>
      </c>
    </row>
    <row r="2">
      <c r="A2" s="22" t="s">
        <v>26</v>
      </c>
      <c r="B2" s="22">
        <v>336.0</v>
      </c>
      <c r="C2" s="25">
        <v>1766.0</v>
      </c>
      <c r="D2" s="25">
        <v>579.0</v>
      </c>
      <c r="L2" s="21"/>
      <c r="N2" s="24">
        <v>595428.0</v>
      </c>
      <c r="O2" s="24"/>
      <c r="P2" s="18"/>
      <c r="Q2" s="23"/>
      <c r="R2" s="25">
        <v>579.0</v>
      </c>
    </row>
    <row r="3">
      <c r="A3" s="22" t="s">
        <v>29</v>
      </c>
      <c r="B3" s="25">
        <v>1685.0</v>
      </c>
      <c r="C3" s="25">
        <v>1867.0</v>
      </c>
      <c r="D3" s="22">
        <v>436.0</v>
      </c>
      <c r="L3" s="21"/>
      <c r="N3" s="24"/>
      <c r="O3" s="24"/>
      <c r="P3" s="18"/>
      <c r="Q3" s="23"/>
    </row>
    <row r="4">
      <c r="A4" s="22" t="s">
        <v>25</v>
      </c>
      <c r="B4" s="22">
        <v>459.0</v>
      </c>
      <c r="C4" s="25">
        <v>2107.0</v>
      </c>
      <c r="D4" s="25">
        <v>2943.0</v>
      </c>
      <c r="L4" s="21"/>
      <c r="N4" s="24">
        <v>1176606.0</v>
      </c>
      <c r="O4" s="24"/>
      <c r="P4" s="18"/>
      <c r="Q4" s="23"/>
      <c r="R4" s="25">
        <v>843.0</v>
      </c>
    </row>
    <row r="5">
      <c r="B5" s="18"/>
      <c r="C5" s="24"/>
      <c r="D5" s="24"/>
      <c r="L5" s="21"/>
      <c r="N5" s="24">
        <v>952841.0</v>
      </c>
      <c r="O5" s="24"/>
      <c r="P5" s="18"/>
      <c r="Q5" s="23"/>
      <c r="R5" s="25">
        <v>2943.0</v>
      </c>
    </row>
    <row r="6">
      <c r="B6" s="18"/>
      <c r="C6" s="24"/>
      <c r="D6" s="24"/>
    </row>
    <row r="7">
      <c r="B7" s="18"/>
      <c r="C7" s="24"/>
      <c r="D7" s="24"/>
    </row>
    <row r="15">
      <c r="A15" s="1" t="s">
        <v>0</v>
      </c>
      <c r="B15" s="1" t="s">
        <v>4</v>
      </c>
    </row>
    <row r="16">
      <c r="A16" s="22" t="s">
        <v>26</v>
      </c>
      <c r="B16" s="16">
        <v>4.575</v>
      </c>
    </row>
    <row r="17">
      <c r="A17" s="22" t="s">
        <v>29</v>
      </c>
      <c r="B17" s="16">
        <v>3.95</v>
      </c>
    </row>
    <row r="18">
      <c r="A18" s="22" t="s">
        <v>25</v>
      </c>
      <c r="B18" s="16">
        <v>2.475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23" max="23" width="19.25"/>
  </cols>
  <sheetData>
    <row r="1">
      <c r="A1" s="1" t="s">
        <v>0</v>
      </c>
      <c r="B1" s="1" t="s">
        <v>112</v>
      </c>
      <c r="C1" s="1" t="s">
        <v>1</v>
      </c>
      <c r="D1" s="1" t="s">
        <v>113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151</v>
      </c>
      <c r="J1" s="1" t="s">
        <v>5</v>
      </c>
      <c r="K1" s="2" t="s">
        <v>7</v>
      </c>
      <c r="L1" s="1" t="s">
        <v>8</v>
      </c>
      <c r="M1" s="1" t="s">
        <v>35</v>
      </c>
      <c r="N1" s="1" t="s">
        <v>6</v>
      </c>
      <c r="O1" s="1" t="s">
        <v>114</v>
      </c>
      <c r="P1" s="2" t="s">
        <v>11</v>
      </c>
      <c r="W1" s="21"/>
    </row>
    <row r="2">
      <c r="A2" s="22" t="str">
        <f t="shared" ref="A2:A29" si="1">INDEX($B$52:$B$329, (F99 * 10) +1, 0)</f>
        <v>MarineX</v>
      </c>
      <c r="B2" s="23" t="str">
        <f t="shared" ref="B2:B29" si="2">INDEX($B$52:$B$329, (F99 * 10) +3, 0)</f>
        <v>Leisure (Sit-In)</v>
      </c>
      <c r="C2" s="22" t="str">
        <f t="shared" ref="C2:C29" si="3">INDEX($B$52:$B$329, (F99 * 10) +4, 0)</f>
        <v>High density</v>
      </c>
      <c r="D2" s="22" t="str">
        <f t="shared" ref="D2:D29" si="4">INDEX($B$52:$B$329, (F99 * 10) +5, 0)</f>
        <v>Yes</v>
      </c>
      <c r="E2" s="23" t="str">
        <f t="shared" ref="E2:E29" si="5">INDEX($B$52:$B$329, (F99 * 10) +6, 0)</f>
        <v>Yes</v>
      </c>
      <c r="F2" s="22" t="str">
        <f t="shared" ref="F2:F29" si="6">INDEX($B$52:$B$329, (F99 * 10) +7, 0)</f>
        <v>Support</v>
      </c>
      <c r="G2" s="22" t="str">
        <f t="shared" ref="G2:G29" si="7">INDEX($B$52:$B$329, (F99 * 10) +8, 0)</f>
        <v>6 years</v>
      </c>
      <c r="H2" s="22" t="str">
        <f t="shared" ref="H2:H31" si="8">SUBSTITUTE(W12," / 5" ,"")</f>
        <v>3.8</v>
      </c>
      <c r="I2" s="21">
        <f t="shared" ref="I2:I42" si="9">INDEX($Z$54:$Z$68, MATCH(A2,$Y$54:$Y$68, 0))</f>
        <v>52</v>
      </c>
      <c r="J2" s="22" t="str">
        <f t="shared" ref="J2:J36" si="10">SUBSTITUTE(INDEX($B$52:$B$419, (F99 * 10) +10, 0), " CAD" , "")</f>
        <v>$700.00</v>
      </c>
      <c r="K2" s="24">
        <f t="shared" ref="K2:K42" si="11">INDEX($J$54:$J$68, MATCH(A2,$I$54:$I$68, 0))</f>
        <v>127354</v>
      </c>
      <c r="L2" s="24">
        <f t="shared" ref="L2:L42" si="12">INDEX($N$54:$N$68, MATCH(A2,$M$54:$M$68, 0))</f>
        <v>6480650</v>
      </c>
      <c r="M2" s="18">
        <f t="shared" ref="M2:M30" si="13">L2-K2</f>
        <v>6353296</v>
      </c>
      <c r="N2" s="23">
        <f t="shared" ref="N2:N42" si="14">INDEX($E$54:$E$68, MATCH(A2,$D$54:$D$68, 0))</f>
        <v>172.45</v>
      </c>
      <c r="O2" s="22">
        <f t="shared" ref="O2:O42" si="15">INDEX($U$54:$U$68, MATCH(A2,$T$54:$T$68, 0))</f>
        <v>364</v>
      </c>
      <c r="P2" s="21">
        <f t="shared" ref="P2:P42" si="16">INDEX($F$54:$F$68, MATCH(A2,$D$54:$D$68, 0),1)</f>
        <v>13</v>
      </c>
      <c r="W2" s="21"/>
    </row>
    <row r="3">
      <c r="A3" s="22" t="str">
        <f t="shared" si="1"/>
        <v>MarineX</v>
      </c>
      <c r="B3" s="22" t="str">
        <f t="shared" si="2"/>
        <v>Leisure (Sit-On-Top)</v>
      </c>
      <c r="C3" s="22" t="str">
        <f t="shared" si="3"/>
        <v>High density</v>
      </c>
      <c r="D3" s="23" t="str">
        <f t="shared" si="4"/>
        <v>Yes</v>
      </c>
      <c r="E3" s="22" t="str">
        <f t="shared" si="5"/>
        <v>Yes</v>
      </c>
      <c r="F3" s="22" t="str">
        <f t="shared" si="6"/>
        <v>Support</v>
      </c>
      <c r="G3" s="23" t="str">
        <f t="shared" si="7"/>
        <v>6 years</v>
      </c>
      <c r="H3" s="22" t="str">
        <f t="shared" si="8"/>
        <v>3.95</v>
      </c>
      <c r="I3" s="21">
        <f t="shared" si="9"/>
        <v>52</v>
      </c>
      <c r="J3" s="22" t="str">
        <f t="shared" si="10"/>
        <v>$500.00</v>
      </c>
      <c r="K3" s="24">
        <f t="shared" si="11"/>
        <v>127354</v>
      </c>
      <c r="L3" s="24">
        <f t="shared" si="12"/>
        <v>6480650</v>
      </c>
      <c r="M3" s="18">
        <f t="shared" si="13"/>
        <v>6353296</v>
      </c>
      <c r="N3" s="23">
        <f t="shared" si="14"/>
        <v>172.45</v>
      </c>
      <c r="O3" s="22">
        <f t="shared" si="15"/>
        <v>364</v>
      </c>
      <c r="P3" s="21">
        <f t="shared" si="16"/>
        <v>13</v>
      </c>
      <c r="W3" s="21"/>
    </row>
    <row r="4">
      <c r="A4" s="23" t="str">
        <f t="shared" si="1"/>
        <v>AquaFloat</v>
      </c>
      <c r="B4" s="22" t="str">
        <f t="shared" si="2"/>
        <v>Leisure (Sit-In)</v>
      </c>
      <c r="C4" s="23" t="str">
        <f t="shared" si="3"/>
        <v>High density</v>
      </c>
      <c r="D4" s="22" t="str">
        <f t="shared" si="4"/>
        <v>Yes</v>
      </c>
      <c r="E4" s="22" t="str">
        <f t="shared" si="5"/>
        <v>Yes</v>
      </c>
      <c r="F4" s="23" t="str">
        <f t="shared" si="6"/>
        <v>Support</v>
      </c>
      <c r="G4" s="22" t="str">
        <f t="shared" si="7"/>
        <v>4 years</v>
      </c>
      <c r="H4" s="22" t="str">
        <f t="shared" si="8"/>
        <v>4.05</v>
      </c>
      <c r="I4" s="21">
        <f t="shared" si="9"/>
        <v>46</v>
      </c>
      <c r="J4" s="22" t="str">
        <f t="shared" si="10"/>
        <v>$800.00</v>
      </c>
      <c r="K4" s="24">
        <f t="shared" si="11"/>
        <v>-340948</v>
      </c>
      <c r="L4" s="24">
        <f t="shared" si="12"/>
        <v>1395314</v>
      </c>
      <c r="M4" s="18">
        <f t="shared" si="13"/>
        <v>1736262</v>
      </c>
      <c r="N4" s="23">
        <f t="shared" si="14"/>
        <v>345.87</v>
      </c>
      <c r="O4" s="25">
        <f t="shared" si="15"/>
        <v>8912</v>
      </c>
      <c r="P4" s="21">
        <f t="shared" si="16"/>
        <v>9</v>
      </c>
      <c r="W4" s="21"/>
    </row>
    <row r="5">
      <c r="A5" s="22" t="str">
        <f t="shared" si="1"/>
        <v>AquaFloat</v>
      </c>
      <c r="B5" s="23" t="str">
        <f t="shared" si="2"/>
        <v>Leisure (Sit-On-Top)</v>
      </c>
      <c r="C5" s="22" t="str">
        <f t="shared" si="3"/>
        <v>High density</v>
      </c>
      <c r="D5" s="22" t="str">
        <f t="shared" si="4"/>
        <v>Yes</v>
      </c>
      <c r="E5" s="23" t="str">
        <f t="shared" si="5"/>
        <v>Yes</v>
      </c>
      <c r="F5" s="22" t="str">
        <f t="shared" si="6"/>
        <v>Support</v>
      </c>
      <c r="G5" s="22" t="str">
        <f t="shared" si="7"/>
        <v>6 years</v>
      </c>
      <c r="H5" s="22" t="str">
        <f t="shared" si="8"/>
        <v>4.05</v>
      </c>
      <c r="I5" s="21">
        <f t="shared" si="9"/>
        <v>46</v>
      </c>
      <c r="J5" s="22" t="str">
        <f t="shared" si="10"/>
        <v>$597.00</v>
      </c>
      <c r="K5" s="24">
        <f t="shared" si="11"/>
        <v>-340948</v>
      </c>
      <c r="L5" s="24">
        <f t="shared" si="12"/>
        <v>1395314</v>
      </c>
      <c r="M5" s="18">
        <f t="shared" si="13"/>
        <v>1736262</v>
      </c>
      <c r="N5" s="23">
        <f t="shared" si="14"/>
        <v>345.87</v>
      </c>
      <c r="O5" s="25">
        <f t="shared" si="15"/>
        <v>8912</v>
      </c>
      <c r="P5" s="21">
        <f t="shared" si="16"/>
        <v>9</v>
      </c>
      <c r="V5" s="21"/>
      <c r="W5" s="21"/>
    </row>
    <row r="6">
      <c r="A6" s="22" t="str">
        <f t="shared" si="1"/>
        <v>Sea Splash Kayaks</v>
      </c>
      <c r="B6" s="22" t="str">
        <f t="shared" si="2"/>
        <v>Leisure (Sit-In)</v>
      </c>
      <c r="C6" s="22" t="str">
        <f t="shared" si="3"/>
        <v>Low density</v>
      </c>
      <c r="D6" s="23" t="str">
        <f t="shared" si="4"/>
        <v>Yes</v>
      </c>
      <c r="E6" s="22" t="str">
        <f t="shared" si="5"/>
        <v>Yes</v>
      </c>
      <c r="F6" s="22" t="str">
        <f t="shared" si="6"/>
        <v>Support</v>
      </c>
      <c r="G6" s="22" t="str">
        <f t="shared" si="7"/>
        <v>6 years</v>
      </c>
      <c r="H6" s="22" t="str">
        <f t="shared" si="8"/>
        <v>3.375</v>
      </c>
      <c r="I6" s="21">
        <f t="shared" si="9"/>
        <v>64</v>
      </c>
      <c r="J6" s="22" t="str">
        <f t="shared" si="10"/>
        <v>$640.00</v>
      </c>
      <c r="K6" s="24">
        <f t="shared" si="11"/>
        <v>246619</v>
      </c>
      <c r="L6" s="24">
        <f t="shared" si="12"/>
        <v>8422978</v>
      </c>
      <c r="M6" s="18">
        <f t="shared" si="13"/>
        <v>8176359</v>
      </c>
      <c r="N6" s="23">
        <f t="shared" si="14"/>
        <v>190.66</v>
      </c>
      <c r="O6" s="25">
        <f t="shared" si="15"/>
        <v>1903</v>
      </c>
      <c r="P6" s="21">
        <f t="shared" si="16"/>
        <v>12</v>
      </c>
      <c r="V6" s="21"/>
      <c r="W6" s="21"/>
    </row>
    <row r="7">
      <c r="A7" s="22" t="str">
        <f t="shared" si="1"/>
        <v>Sea Splash Kayaks</v>
      </c>
      <c r="B7" s="22" t="str">
        <f t="shared" si="2"/>
        <v>Leisure (Sit-On-Top)</v>
      </c>
      <c r="C7" s="22" t="str">
        <f t="shared" si="3"/>
        <v>Low density</v>
      </c>
      <c r="D7" s="22" t="str">
        <f t="shared" si="4"/>
        <v>Yes</v>
      </c>
      <c r="E7" s="22" t="str">
        <f t="shared" si="5"/>
        <v>No</v>
      </c>
      <c r="F7" s="22" t="str">
        <f t="shared" si="6"/>
        <v>Plastic film</v>
      </c>
      <c r="G7" s="22" t="str">
        <f t="shared" si="7"/>
        <v>2 years</v>
      </c>
      <c r="H7" s="22" t="str">
        <f t="shared" si="8"/>
        <v>3.125</v>
      </c>
      <c r="I7" s="21">
        <f t="shared" si="9"/>
        <v>64</v>
      </c>
      <c r="J7" s="22" t="str">
        <f t="shared" si="10"/>
        <v>$482.00</v>
      </c>
      <c r="K7" s="24">
        <f t="shared" si="11"/>
        <v>246619</v>
      </c>
      <c r="L7" s="24">
        <f t="shared" si="12"/>
        <v>8422978</v>
      </c>
      <c r="M7" s="18">
        <f t="shared" si="13"/>
        <v>8176359</v>
      </c>
      <c r="N7" s="23">
        <f t="shared" si="14"/>
        <v>190.66</v>
      </c>
      <c r="O7" s="25">
        <f t="shared" si="15"/>
        <v>1903</v>
      </c>
      <c r="P7" s="21">
        <f t="shared" si="16"/>
        <v>12</v>
      </c>
      <c r="V7" s="21"/>
      <c r="W7" s="21"/>
    </row>
    <row r="8">
      <c r="A8" s="22" t="str">
        <f t="shared" si="1"/>
        <v>ElevationKayaks</v>
      </c>
      <c r="B8" s="22" t="str">
        <f t="shared" si="2"/>
        <v>Leisure (Sit-In)</v>
      </c>
      <c r="C8" s="22" t="str">
        <f t="shared" si="3"/>
        <v>High density</v>
      </c>
      <c r="D8" s="22" t="str">
        <f t="shared" si="4"/>
        <v>Yes</v>
      </c>
      <c r="E8" s="22" t="str">
        <f t="shared" si="5"/>
        <v>Yes</v>
      </c>
      <c r="F8" s="22" t="str">
        <f t="shared" si="6"/>
        <v>Canvas bag</v>
      </c>
      <c r="G8" s="22" t="str">
        <f t="shared" si="7"/>
        <v>4 years</v>
      </c>
      <c r="H8" s="22" t="str">
        <f t="shared" si="8"/>
        <v>3.525</v>
      </c>
      <c r="I8" s="21">
        <f t="shared" si="9"/>
        <v>40</v>
      </c>
      <c r="J8" s="22" t="str">
        <f t="shared" si="10"/>
        <v>$660.00</v>
      </c>
      <c r="K8" s="24">
        <f t="shared" si="11"/>
        <v>378049</v>
      </c>
      <c r="L8" s="24">
        <f t="shared" si="12"/>
        <v>5558248</v>
      </c>
      <c r="M8" s="18">
        <f t="shared" si="13"/>
        <v>5180199</v>
      </c>
      <c r="N8" s="23">
        <f t="shared" si="14"/>
        <v>347.79</v>
      </c>
      <c r="O8" s="22">
        <f t="shared" si="15"/>
        <v>336</v>
      </c>
      <c r="P8" s="21">
        <f t="shared" si="16"/>
        <v>8</v>
      </c>
      <c r="U8" s="22" t="str">
        <f t="array" ref="U8">INDEX($E$54:$E$68, MATCH(#REF!,$D$54:$D$68, 0),1)</f>
        <v>#REF!</v>
      </c>
      <c r="V8" s="21" t="str">
        <f t="array" ref="V8">INDEX($N$54:$N$68, MATCH(#REF!,$M$54:$M$68, 0),1)</f>
        <v>#REF!</v>
      </c>
      <c r="W8" s="21" t="str">
        <f t="array" ref="W8">INDEX($Q$54:$Q$68, MATCH(#REF!,$P$54:$P$68, 0),1)</f>
        <v>#REF!</v>
      </c>
      <c r="X8" s="22" t="str">
        <f>V8-W8</f>
        <v>#REF!</v>
      </c>
      <c r="Y8" s="22" t="str">
        <f t="array" ref="Y8">INDEX($J$54:$J$68, MATCH(#REF!,$I$54:$I$68, 0),1)</f>
        <v>#REF!</v>
      </c>
    </row>
    <row r="9">
      <c r="A9" s="22" t="str">
        <f t="shared" si="1"/>
        <v>ElevationKayaks</v>
      </c>
      <c r="B9" s="22" t="str">
        <f t="shared" si="2"/>
        <v>Leisure (Sit-On-Top)</v>
      </c>
      <c r="C9" s="22" t="str">
        <f t="shared" si="3"/>
        <v>High density</v>
      </c>
      <c r="D9" s="22" t="str">
        <f t="shared" si="4"/>
        <v>Yes</v>
      </c>
      <c r="E9" s="22" t="str">
        <f t="shared" si="5"/>
        <v>Yes</v>
      </c>
      <c r="F9" s="22" t="str">
        <f t="shared" si="6"/>
        <v>Canvas bag</v>
      </c>
      <c r="G9" s="22" t="str">
        <f t="shared" si="7"/>
        <v>4 years</v>
      </c>
      <c r="H9" s="22" t="str">
        <f t="shared" si="8"/>
        <v>3.825</v>
      </c>
      <c r="I9" s="21">
        <f t="shared" si="9"/>
        <v>40</v>
      </c>
      <c r="J9" s="22" t="str">
        <f t="shared" si="10"/>
        <v>$568.00</v>
      </c>
      <c r="K9" s="24">
        <f t="shared" si="11"/>
        <v>378049</v>
      </c>
      <c r="L9" s="24">
        <f t="shared" si="12"/>
        <v>5558248</v>
      </c>
      <c r="M9" s="18">
        <f t="shared" si="13"/>
        <v>5180199</v>
      </c>
      <c r="N9" s="23">
        <f t="shared" si="14"/>
        <v>347.79</v>
      </c>
      <c r="O9" s="22">
        <f t="shared" si="15"/>
        <v>336</v>
      </c>
      <c r="P9" s="21">
        <f t="shared" si="16"/>
        <v>8</v>
      </c>
      <c r="Y9" s="22" t="s">
        <v>118</v>
      </c>
    </row>
    <row r="10">
      <c r="A10" s="22" t="str">
        <f t="shared" si="1"/>
        <v>H2OExplorers</v>
      </c>
      <c r="B10" s="22" t="str">
        <f t="shared" si="2"/>
        <v>Leisure (Sit-In)</v>
      </c>
      <c r="C10" s="22" t="str">
        <f t="shared" si="3"/>
        <v>Low density</v>
      </c>
      <c r="D10" s="22" t="str">
        <f t="shared" si="4"/>
        <v>Yes</v>
      </c>
      <c r="E10" s="22" t="str">
        <f t="shared" si="5"/>
        <v>Yes</v>
      </c>
      <c r="F10" s="22" t="str">
        <f t="shared" si="6"/>
        <v>Canvas bag</v>
      </c>
      <c r="G10" s="22" t="str">
        <f t="shared" si="7"/>
        <v>Basic</v>
      </c>
      <c r="H10" s="22" t="str">
        <f t="shared" si="8"/>
        <v>3.025</v>
      </c>
      <c r="I10" s="21">
        <f t="shared" si="9"/>
        <v>49</v>
      </c>
      <c r="J10" s="22" t="str">
        <f t="shared" si="10"/>
        <v>$628.00</v>
      </c>
      <c r="K10" s="24">
        <f t="shared" si="11"/>
        <v>521914</v>
      </c>
      <c r="L10" s="24">
        <f t="shared" si="12"/>
        <v>6808930</v>
      </c>
      <c r="M10" s="18">
        <f t="shared" si="13"/>
        <v>6287016</v>
      </c>
      <c r="N10" s="23">
        <f t="shared" si="14"/>
        <v>360.8</v>
      </c>
      <c r="O10" s="25">
        <f t="shared" si="15"/>
        <v>1335</v>
      </c>
      <c r="P10" s="21">
        <f t="shared" si="16"/>
        <v>7</v>
      </c>
      <c r="Y10" s="22" t="s">
        <v>149</v>
      </c>
    </row>
    <row r="11">
      <c r="A11" s="22" t="str">
        <f t="shared" si="1"/>
        <v>H2OExplorers</v>
      </c>
      <c r="B11" s="22" t="str">
        <f t="shared" si="2"/>
        <v>Leisure (Sit-On-Top)</v>
      </c>
      <c r="C11" s="22" t="str">
        <f t="shared" si="3"/>
        <v>High density</v>
      </c>
      <c r="D11" s="22" t="str">
        <f t="shared" si="4"/>
        <v>Yes</v>
      </c>
      <c r="E11" s="22" t="str">
        <f t="shared" si="5"/>
        <v>No</v>
      </c>
      <c r="F11" s="22" t="str">
        <f t="shared" si="6"/>
        <v>Support</v>
      </c>
      <c r="G11" s="22" t="str">
        <f t="shared" si="7"/>
        <v>2 years</v>
      </c>
      <c r="H11" s="22" t="str">
        <f t="shared" si="8"/>
        <v>3.825</v>
      </c>
      <c r="I11" s="21">
        <f t="shared" si="9"/>
        <v>49</v>
      </c>
      <c r="J11" s="22" t="str">
        <f t="shared" si="10"/>
        <v>$530.00</v>
      </c>
      <c r="K11" s="24">
        <f t="shared" si="11"/>
        <v>521914</v>
      </c>
      <c r="L11" s="24">
        <f t="shared" si="12"/>
        <v>6808930</v>
      </c>
      <c r="M11" s="18">
        <f t="shared" si="13"/>
        <v>6287016</v>
      </c>
      <c r="N11" s="23">
        <f t="shared" si="14"/>
        <v>360.8</v>
      </c>
      <c r="O11" s="25">
        <f t="shared" si="15"/>
        <v>1335</v>
      </c>
      <c r="P11" s="21">
        <f t="shared" si="16"/>
        <v>7</v>
      </c>
      <c r="Y11" s="22" t="s">
        <v>120</v>
      </c>
    </row>
    <row r="12">
      <c r="A12" s="22" t="str">
        <f t="shared" si="1"/>
        <v>H2OExplorers</v>
      </c>
      <c r="B12" s="22" t="str">
        <f t="shared" si="2"/>
        <v>Fishing (Sit-On-Top)</v>
      </c>
      <c r="C12" s="22" t="str">
        <f t="shared" si="3"/>
        <v>High density</v>
      </c>
      <c r="D12" s="22" t="str">
        <f t="shared" si="4"/>
        <v>Yes</v>
      </c>
      <c r="E12" s="22" t="str">
        <f t="shared" si="5"/>
        <v>Yes</v>
      </c>
      <c r="F12" s="22" t="str">
        <f t="shared" si="6"/>
        <v>Support</v>
      </c>
      <c r="G12" s="22" t="str">
        <f t="shared" si="7"/>
        <v>4 years</v>
      </c>
      <c r="H12" s="22" t="str">
        <f t="shared" si="8"/>
        <v>4.2</v>
      </c>
      <c r="I12" s="21">
        <f t="shared" si="9"/>
        <v>49</v>
      </c>
      <c r="J12" s="22" t="str">
        <f t="shared" si="10"/>
        <v>$600.00</v>
      </c>
      <c r="K12" s="24">
        <f t="shared" si="11"/>
        <v>521914</v>
      </c>
      <c r="L12" s="24">
        <f t="shared" si="12"/>
        <v>6808930</v>
      </c>
      <c r="M12" s="18">
        <f t="shared" si="13"/>
        <v>6287016</v>
      </c>
      <c r="N12" s="23">
        <f t="shared" si="14"/>
        <v>360.8</v>
      </c>
      <c r="O12" s="25">
        <f t="shared" si="15"/>
        <v>1335</v>
      </c>
      <c r="P12" s="21">
        <f t="shared" si="16"/>
        <v>7</v>
      </c>
      <c r="U12" s="26" t="str">
        <f t="shared" ref="U12:U37" si="17">INDEX($B$52:$B$329, (F99 * 10) +10, 0)</f>
        <v>$700.00 CAD</v>
      </c>
      <c r="W12" s="23" t="str">
        <f t="shared" ref="W12:W38" si="18">INDEX($B$52:$B$329, (F99 * 10) +9, 0)</f>
        <v>3.8 / 5</v>
      </c>
      <c r="Y12" s="22" t="s">
        <v>133</v>
      </c>
    </row>
    <row r="13">
      <c r="A13" s="22" t="str">
        <f t="shared" si="1"/>
        <v>H2OExplorers</v>
      </c>
      <c r="B13" s="22" t="str">
        <f t="shared" si="2"/>
        <v>Excursion (Sit-In)</v>
      </c>
      <c r="C13" s="22" t="str">
        <f t="shared" si="3"/>
        <v>High density</v>
      </c>
      <c r="D13" s="22" t="str">
        <f t="shared" si="4"/>
        <v>Yes</v>
      </c>
      <c r="E13" s="22" t="str">
        <f t="shared" si="5"/>
        <v>Yes</v>
      </c>
      <c r="F13" s="22" t="str">
        <f t="shared" si="6"/>
        <v>Support</v>
      </c>
      <c r="G13" s="22" t="str">
        <f t="shared" si="7"/>
        <v>Basic</v>
      </c>
      <c r="H13" s="22" t="str">
        <f t="shared" si="8"/>
        <v>4.175</v>
      </c>
      <c r="I13" s="21">
        <f t="shared" si="9"/>
        <v>49</v>
      </c>
      <c r="J13" s="22" t="str">
        <f t="shared" si="10"/>
        <v>$710.00</v>
      </c>
      <c r="K13" s="24">
        <f t="shared" si="11"/>
        <v>521914</v>
      </c>
      <c r="L13" s="24">
        <f t="shared" si="12"/>
        <v>6808930</v>
      </c>
      <c r="M13" s="18">
        <f t="shared" si="13"/>
        <v>6287016</v>
      </c>
      <c r="N13" s="23">
        <f t="shared" si="14"/>
        <v>360.8</v>
      </c>
      <c r="O13" s="25">
        <f t="shared" si="15"/>
        <v>1335</v>
      </c>
      <c r="P13" s="21">
        <f t="shared" si="16"/>
        <v>7</v>
      </c>
      <c r="U13" s="26" t="str">
        <f t="shared" si="17"/>
        <v>$500.00 CAD</v>
      </c>
      <c r="W13" s="22" t="str">
        <f t="shared" si="18"/>
        <v>3.95 / 5</v>
      </c>
      <c r="Y13" s="22" t="s">
        <v>131</v>
      </c>
    </row>
    <row r="14">
      <c r="A14" s="22" t="str">
        <f t="shared" si="1"/>
        <v>Nordiks</v>
      </c>
      <c r="B14" s="22" t="str">
        <f t="shared" si="2"/>
        <v>Leisure (Sit-In)</v>
      </c>
      <c r="C14" s="22" t="str">
        <f t="shared" si="3"/>
        <v>High density</v>
      </c>
      <c r="D14" s="22" t="str">
        <f t="shared" si="4"/>
        <v>Yes</v>
      </c>
      <c r="E14" s="22" t="str">
        <f t="shared" si="5"/>
        <v>Yes</v>
      </c>
      <c r="F14" s="22" t="str">
        <f t="shared" si="6"/>
        <v>Support</v>
      </c>
      <c r="G14" s="22" t="str">
        <f t="shared" si="7"/>
        <v>2 years</v>
      </c>
      <c r="H14" s="22" t="str">
        <f t="shared" si="8"/>
        <v>3.975</v>
      </c>
      <c r="I14" s="21">
        <f t="shared" si="9"/>
        <v>50</v>
      </c>
      <c r="J14" s="22" t="str">
        <f t="shared" si="10"/>
        <v>$675.00</v>
      </c>
      <c r="K14" s="24">
        <f t="shared" si="11"/>
        <v>4759</v>
      </c>
      <c r="L14" s="24">
        <f t="shared" si="12"/>
        <v>6496104</v>
      </c>
      <c r="M14" s="18">
        <f t="shared" si="13"/>
        <v>6491345</v>
      </c>
      <c r="N14" s="23">
        <f t="shared" si="14"/>
        <v>75.15</v>
      </c>
      <c r="O14" s="25">
        <f t="shared" si="15"/>
        <v>3989</v>
      </c>
      <c r="P14" s="21">
        <f t="shared" si="16"/>
        <v>15</v>
      </c>
      <c r="U14" s="27" t="str">
        <f t="shared" si="17"/>
        <v>$800.00 CAD</v>
      </c>
      <c r="W14" s="22" t="str">
        <f t="shared" si="18"/>
        <v>4.05 / 5</v>
      </c>
      <c r="Y14" s="22" t="s">
        <v>110</v>
      </c>
    </row>
    <row r="15">
      <c r="A15" s="22" t="str">
        <f t="shared" si="1"/>
        <v>Nordiks</v>
      </c>
      <c r="B15" s="22" t="str">
        <f t="shared" si="2"/>
        <v>Leisure (Sit-On-Top)</v>
      </c>
      <c r="C15" s="22" t="str">
        <f t="shared" si="3"/>
        <v>High density</v>
      </c>
      <c r="D15" s="22" t="str">
        <f t="shared" si="4"/>
        <v>Yes</v>
      </c>
      <c r="E15" s="22" t="str">
        <f t="shared" si="5"/>
        <v>No</v>
      </c>
      <c r="F15" s="22" t="str">
        <f t="shared" si="6"/>
        <v>Support</v>
      </c>
      <c r="G15" s="22" t="str">
        <f t="shared" si="7"/>
        <v>2 years</v>
      </c>
      <c r="H15" s="22" t="str">
        <f t="shared" si="8"/>
        <v>4.05</v>
      </c>
      <c r="I15" s="21">
        <f t="shared" si="9"/>
        <v>50</v>
      </c>
      <c r="J15" s="22" t="str">
        <f t="shared" si="10"/>
        <v>$585.00</v>
      </c>
      <c r="K15" s="24">
        <f t="shared" si="11"/>
        <v>4759</v>
      </c>
      <c r="L15" s="24">
        <f t="shared" si="12"/>
        <v>6496104</v>
      </c>
      <c r="M15" s="18">
        <f t="shared" si="13"/>
        <v>6491345</v>
      </c>
      <c r="N15" s="23">
        <f t="shared" si="14"/>
        <v>75.15</v>
      </c>
      <c r="O15" s="25">
        <f t="shared" si="15"/>
        <v>3989</v>
      </c>
      <c r="P15" s="21">
        <f t="shared" si="16"/>
        <v>15</v>
      </c>
      <c r="U15" s="26" t="str">
        <f t="shared" si="17"/>
        <v>$597.00 CAD</v>
      </c>
      <c r="W15" s="23" t="str">
        <f t="shared" si="18"/>
        <v>4.05 / 5</v>
      </c>
      <c r="Y15" s="22" t="s">
        <v>143</v>
      </c>
    </row>
    <row r="16">
      <c r="A16" s="22" t="str">
        <f t="shared" si="1"/>
        <v>Freeflow Kayaks</v>
      </c>
      <c r="B16" s="22" t="str">
        <f t="shared" si="2"/>
        <v>Leisure (Sit-In)</v>
      </c>
      <c r="C16" s="22" t="str">
        <f t="shared" si="3"/>
        <v>Low density</v>
      </c>
      <c r="D16" s="22" t="str">
        <f t="shared" si="4"/>
        <v>Yes</v>
      </c>
      <c r="E16" s="22" t="str">
        <f t="shared" si="5"/>
        <v>Yes</v>
      </c>
      <c r="F16" s="22" t="str">
        <f t="shared" si="6"/>
        <v>Canvas bag</v>
      </c>
      <c r="G16" s="22" t="str">
        <f t="shared" si="7"/>
        <v>Basic</v>
      </c>
      <c r="H16" s="22" t="str">
        <f t="shared" si="8"/>
        <v>2.55</v>
      </c>
      <c r="I16" s="21">
        <f t="shared" si="9"/>
        <v>53</v>
      </c>
      <c r="J16" s="22" t="str">
        <f t="shared" si="10"/>
        <v>$660.00</v>
      </c>
      <c r="K16" s="24">
        <f t="shared" si="11"/>
        <v>262068</v>
      </c>
      <c r="L16" s="24">
        <f t="shared" si="12"/>
        <v>5469581</v>
      </c>
      <c r="M16" s="18">
        <f t="shared" si="13"/>
        <v>5207513</v>
      </c>
      <c r="N16" s="23">
        <f t="shared" si="14"/>
        <v>299.92</v>
      </c>
      <c r="O16" s="22">
        <f t="shared" si="15"/>
        <v>336</v>
      </c>
      <c r="P16" s="21">
        <f t="shared" si="16"/>
        <v>10</v>
      </c>
      <c r="U16" s="26" t="str">
        <f t="shared" si="17"/>
        <v>$640.00 CAD</v>
      </c>
      <c r="W16" s="22" t="str">
        <f t="shared" si="18"/>
        <v>3.375 / 5</v>
      </c>
      <c r="Y16" s="22" t="s">
        <v>116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>
      <c r="A17" s="22" t="str">
        <f t="shared" si="1"/>
        <v>Freeflow Kayaks</v>
      </c>
      <c r="B17" s="22" t="str">
        <f t="shared" si="2"/>
        <v>Leisure (Sit-On-Top)</v>
      </c>
      <c r="C17" s="22" t="str">
        <f t="shared" si="3"/>
        <v>Low density</v>
      </c>
      <c r="D17" s="22" t="str">
        <f t="shared" si="4"/>
        <v>Yes</v>
      </c>
      <c r="E17" s="22" t="str">
        <f t="shared" si="5"/>
        <v>Yes</v>
      </c>
      <c r="F17" s="22" t="str">
        <f t="shared" si="6"/>
        <v>Canvas bag</v>
      </c>
      <c r="G17" s="22" t="str">
        <f t="shared" si="7"/>
        <v>2 years</v>
      </c>
      <c r="H17" s="22" t="str">
        <f t="shared" si="8"/>
        <v>3</v>
      </c>
      <c r="I17" s="21">
        <f t="shared" si="9"/>
        <v>53</v>
      </c>
      <c r="J17" s="22" t="str">
        <f t="shared" si="10"/>
        <v>$519.00</v>
      </c>
      <c r="K17" s="24">
        <f t="shared" si="11"/>
        <v>262068</v>
      </c>
      <c r="L17" s="24">
        <f t="shared" si="12"/>
        <v>5469581</v>
      </c>
      <c r="M17" s="18">
        <f t="shared" si="13"/>
        <v>5207513</v>
      </c>
      <c r="N17" s="23">
        <f t="shared" si="14"/>
        <v>299.92</v>
      </c>
      <c r="O17" s="22">
        <f t="shared" si="15"/>
        <v>336</v>
      </c>
      <c r="P17" s="21">
        <f t="shared" si="16"/>
        <v>10</v>
      </c>
      <c r="U17" s="26" t="str">
        <f t="shared" si="17"/>
        <v>$482.00 CAD</v>
      </c>
      <c r="W17" s="22" t="str">
        <f t="shared" si="18"/>
        <v>3.125 / 5</v>
      </c>
      <c r="Y17" s="22" t="s">
        <v>133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>
      <c r="A18" s="22" t="str">
        <f t="shared" si="1"/>
        <v>Ramm</v>
      </c>
      <c r="B18" s="22" t="str">
        <f t="shared" si="2"/>
        <v>Leisure (Sit-In)</v>
      </c>
      <c r="C18" s="22" t="str">
        <f t="shared" si="3"/>
        <v>High density</v>
      </c>
      <c r="D18" s="22" t="str">
        <f t="shared" si="4"/>
        <v>Yes</v>
      </c>
      <c r="E18" s="22" t="str">
        <f t="shared" si="5"/>
        <v>Yes</v>
      </c>
      <c r="F18" s="22" t="str">
        <f t="shared" si="6"/>
        <v>Support</v>
      </c>
      <c r="G18" s="22" t="str">
        <f t="shared" si="7"/>
        <v>10 years</v>
      </c>
      <c r="H18" s="22" t="str">
        <f t="shared" si="8"/>
        <v>4.45</v>
      </c>
      <c r="I18" s="21">
        <f t="shared" si="9"/>
        <v>68</v>
      </c>
      <c r="J18" s="22" t="str">
        <f t="shared" si="10"/>
        <v>$654.00</v>
      </c>
      <c r="K18" s="24">
        <f t="shared" si="11"/>
        <v>219250</v>
      </c>
      <c r="L18" s="24">
        <f t="shared" si="12"/>
        <v>7661379</v>
      </c>
      <c r="M18" s="18">
        <f t="shared" si="13"/>
        <v>7442129</v>
      </c>
      <c r="N18" s="23">
        <f t="shared" si="14"/>
        <v>431.22</v>
      </c>
      <c r="O18" s="22">
        <f t="shared" si="15"/>
        <v>436</v>
      </c>
      <c r="P18" s="21">
        <f t="shared" si="16"/>
        <v>2</v>
      </c>
      <c r="U18" s="26" t="str">
        <f t="shared" si="17"/>
        <v>$660.00 CAD</v>
      </c>
      <c r="W18" s="22" t="str">
        <f t="shared" si="18"/>
        <v>3.525 / 5</v>
      </c>
      <c r="Y18" s="22" t="s">
        <v>100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>
      <c r="A19" s="22" t="str">
        <f t="shared" si="1"/>
        <v>Ramm</v>
      </c>
      <c r="B19" s="22" t="str">
        <f t="shared" si="2"/>
        <v>Fishing (Sit-On-Top)</v>
      </c>
      <c r="C19" s="22" t="str">
        <f t="shared" si="3"/>
        <v>High density</v>
      </c>
      <c r="D19" s="22" t="str">
        <f t="shared" si="4"/>
        <v>Yes</v>
      </c>
      <c r="E19" s="22" t="str">
        <f t="shared" si="5"/>
        <v>Yes</v>
      </c>
      <c r="F19" s="22" t="str">
        <f t="shared" si="6"/>
        <v>Support</v>
      </c>
      <c r="G19" s="22" t="str">
        <f t="shared" si="7"/>
        <v>10 years</v>
      </c>
      <c r="H19" s="22" t="str">
        <f t="shared" si="8"/>
        <v>4.55</v>
      </c>
      <c r="I19" s="21">
        <f t="shared" si="9"/>
        <v>68</v>
      </c>
      <c r="J19" s="22" t="str">
        <f t="shared" si="10"/>
        <v>$574.00</v>
      </c>
      <c r="K19" s="24">
        <f t="shared" si="11"/>
        <v>219250</v>
      </c>
      <c r="L19" s="24">
        <f t="shared" si="12"/>
        <v>7661379</v>
      </c>
      <c r="M19" s="18">
        <f t="shared" si="13"/>
        <v>7442129</v>
      </c>
      <c r="N19" s="23">
        <f t="shared" si="14"/>
        <v>431.22</v>
      </c>
      <c r="O19" s="22">
        <f t="shared" si="15"/>
        <v>436</v>
      </c>
      <c r="P19" s="21">
        <f t="shared" si="16"/>
        <v>2</v>
      </c>
      <c r="U19" s="26" t="str">
        <f t="shared" si="17"/>
        <v>$568.00 CAD</v>
      </c>
      <c r="W19" s="22" t="str">
        <f t="shared" si="18"/>
        <v>3.825 / 5</v>
      </c>
      <c r="Y19" s="22" t="s">
        <v>135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>
      <c r="A20" s="22" t="str">
        <f t="shared" si="1"/>
        <v>Ramm</v>
      </c>
      <c r="B20" s="22" t="str">
        <f t="shared" si="2"/>
        <v>Excursion (Sit-In)</v>
      </c>
      <c r="C20" s="22" t="str">
        <f t="shared" si="3"/>
        <v>High density</v>
      </c>
      <c r="D20" s="22" t="str">
        <f t="shared" si="4"/>
        <v>Yes</v>
      </c>
      <c r="E20" s="22" t="str">
        <f t="shared" si="5"/>
        <v>Yes</v>
      </c>
      <c r="F20" s="22" t="str">
        <f t="shared" si="6"/>
        <v>Support</v>
      </c>
      <c r="G20" s="22" t="str">
        <f t="shared" si="7"/>
        <v>10 years</v>
      </c>
      <c r="H20" s="22" t="str">
        <f t="shared" si="8"/>
        <v>4.75</v>
      </c>
      <c r="I20" s="21">
        <f t="shared" si="9"/>
        <v>68</v>
      </c>
      <c r="J20" s="22" t="str">
        <f t="shared" si="10"/>
        <v>$732.00</v>
      </c>
      <c r="K20" s="24">
        <f t="shared" si="11"/>
        <v>219250</v>
      </c>
      <c r="L20" s="24">
        <f t="shared" si="12"/>
        <v>7661379</v>
      </c>
      <c r="M20" s="18">
        <f t="shared" si="13"/>
        <v>7442129</v>
      </c>
      <c r="N20" s="23">
        <f t="shared" si="14"/>
        <v>431.22</v>
      </c>
      <c r="O20" s="22">
        <f t="shared" si="15"/>
        <v>436</v>
      </c>
      <c r="P20" s="21">
        <f t="shared" si="16"/>
        <v>2</v>
      </c>
      <c r="U20" s="26" t="str">
        <f t="shared" si="17"/>
        <v>$628.00 CAD</v>
      </c>
      <c r="W20" s="22" t="str">
        <f t="shared" si="18"/>
        <v>3.025 / 5</v>
      </c>
      <c r="Y20" s="22" t="s">
        <v>120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>
      <c r="A21" s="22" t="str">
        <f t="shared" si="1"/>
        <v>Jaws Kayak</v>
      </c>
      <c r="B21" s="22" t="str">
        <f t="shared" si="2"/>
        <v>Leisure (Sit-In)</v>
      </c>
      <c r="C21" s="22" t="str">
        <f t="shared" si="3"/>
        <v>High density</v>
      </c>
      <c r="D21" s="22" t="str">
        <f t="shared" si="4"/>
        <v>Yes</v>
      </c>
      <c r="E21" s="22" t="str">
        <f t="shared" si="5"/>
        <v>Yes</v>
      </c>
      <c r="F21" s="22" t="str">
        <f t="shared" si="6"/>
        <v>Support</v>
      </c>
      <c r="G21" s="22" t="str">
        <f t="shared" si="7"/>
        <v>10 years</v>
      </c>
      <c r="H21" s="22" t="str">
        <f t="shared" si="8"/>
        <v>4.15</v>
      </c>
      <c r="I21" s="21">
        <f t="shared" si="9"/>
        <v>54</v>
      </c>
      <c r="J21" s="22" t="str">
        <f t="shared" si="10"/>
        <v>$704.00</v>
      </c>
      <c r="K21" s="24">
        <f t="shared" si="11"/>
        <v>196506</v>
      </c>
      <c r="L21" s="24">
        <f t="shared" si="12"/>
        <v>6202694</v>
      </c>
      <c r="M21" s="18">
        <f t="shared" si="13"/>
        <v>6006188</v>
      </c>
      <c r="N21" s="23">
        <f t="shared" si="14"/>
        <v>226.28</v>
      </c>
      <c r="O21" s="25">
        <f t="shared" si="15"/>
        <v>3310</v>
      </c>
      <c r="P21" s="21">
        <f t="shared" si="16"/>
        <v>11</v>
      </c>
      <c r="U21" s="26" t="str">
        <f t="shared" si="17"/>
        <v>$530.00 CAD</v>
      </c>
      <c r="W21" s="22" t="str">
        <f t="shared" si="18"/>
        <v>3.825 / 5</v>
      </c>
      <c r="Y21" s="22" t="s">
        <v>123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>
      <c r="A22" s="22" t="str">
        <f t="shared" si="1"/>
        <v>Jaws Kayak</v>
      </c>
      <c r="B22" s="22" t="str">
        <f t="shared" si="2"/>
        <v>Leisure (Sit-On-Top)</v>
      </c>
      <c r="C22" s="22" t="str">
        <f t="shared" si="3"/>
        <v>High density</v>
      </c>
      <c r="D22" s="22" t="str">
        <f t="shared" si="4"/>
        <v>Yes</v>
      </c>
      <c r="E22" s="22" t="str">
        <f t="shared" si="5"/>
        <v>Yes</v>
      </c>
      <c r="F22" s="22" t="str">
        <f t="shared" si="6"/>
        <v>Support</v>
      </c>
      <c r="G22" s="22" t="str">
        <f t="shared" si="7"/>
        <v>10 years</v>
      </c>
      <c r="H22" s="22" t="str">
        <f t="shared" si="8"/>
        <v>4.45</v>
      </c>
      <c r="I22" s="21">
        <f t="shared" si="9"/>
        <v>54</v>
      </c>
      <c r="J22" s="22" t="str">
        <f t="shared" si="10"/>
        <v>$665.00</v>
      </c>
      <c r="K22" s="24">
        <f t="shared" si="11"/>
        <v>196506</v>
      </c>
      <c r="L22" s="24">
        <f t="shared" si="12"/>
        <v>6202694</v>
      </c>
      <c r="M22" s="18">
        <f t="shared" si="13"/>
        <v>6006188</v>
      </c>
      <c r="N22" s="23">
        <f t="shared" si="14"/>
        <v>226.28</v>
      </c>
      <c r="O22" s="25">
        <f t="shared" si="15"/>
        <v>3310</v>
      </c>
      <c r="P22" s="21">
        <f t="shared" si="16"/>
        <v>11</v>
      </c>
      <c r="U22" s="26" t="str">
        <f t="shared" si="17"/>
        <v>$600.00 CAD</v>
      </c>
      <c r="W22" s="22" t="str">
        <f t="shared" si="18"/>
        <v>4.2 / 5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>
      <c r="A23" s="22" t="str">
        <f t="shared" si="1"/>
        <v>Jaws Kayak</v>
      </c>
      <c r="B23" s="22" t="str">
        <f t="shared" si="2"/>
        <v>Fishing (Sit-On-Top)</v>
      </c>
      <c r="C23" s="22" t="str">
        <f t="shared" si="3"/>
        <v>High density</v>
      </c>
      <c r="D23" s="22" t="str">
        <f t="shared" si="4"/>
        <v>Yes</v>
      </c>
      <c r="E23" s="22" t="str">
        <f t="shared" si="5"/>
        <v>Yes</v>
      </c>
      <c r="F23" s="22" t="str">
        <f t="shared" si="6"/>
        <v>Canvas bag</v>
      </c>
      <c r="G23" s="22" t="str">
        <f t="shared" si="7"/>
        <v>6 years</v>
      </c>
      <c r="H23" s="22" t="str">
        <f t="shared" si="8"/>
        <v>3.75</v>
      </c>
      <c r="I23" s="21">
        <f t="shared" si="9"/>
        <v>54</v>
      </c>
      <c r="J23" s="22" t="str">
        <f t="shared" si="10"/>
        <v>$608.00</v>
      </c>
      <c r="K23" s="24">
        <f t="shared" si="11"/>
        <v>196506</v>
      </c>
      <c r="L23" s="24">
        <f t="shared" si="12"/>
        <v>6202694</v>
      </c>
      <c r="M23" s="18">
        <f t="shared" si="13"/>
        <v>6006188</v>
      </c>
      <c r="N23" s="23">
        <f t="shared" si="14"/>
        <v>226.28</v>
      </c>
      <c r="O23" s="25">
        <f t="shared" si="15"/>
        <v>3310</v>
      </c>
      <c r="P23" s="21">
        <f t="shared" si="16"/>
        <v>11</v>
      </c>
      <c r="U23" s="26" t="str">
        <f t="shared" si="17"/>
        <v>$710.00 CAD</v>
      </c>
      <c r="W23" s="22" t="str">
        <f t="shared" si="18"/>
        <v>4.175 / 5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>
      <c r="A24" s="22" t="str">
        <f t="shared" si="1"/>
        <v>Crystal Crest Kayaks</v>
      </c>
      <c r="B24" s="22" t="str">
        <f t="shared" si="2"/>
        <v>Leisure (Sit-In)</v>
      </c>
      <c r="C24" s="22" t="str">
        <f t="shared" si="3"/>
        <v>High density</v>
      </c>
      <c r="D24" s="22" t="str">
        <f t="shared" si="4"/>
        <v>Yes</v>
      </c>
      <c r="E24" s="22" t="str">
        <f t="shared" si="5"/>
        <v>Yes</v>
      </c>
      <c r="F24" s="22" t="str">
        <f t="shared" si="6"/>
        <v>Canvas bag</v>
      </c>
      <c r="G24" s="22" t="str">
        <f t="shared" si="7"/>
        <v>4 years</v>
      </c>
      <c r="H24" s="22" t="str">
        <f t="shared" si="8"/>
        <v>4.025</v>
      </c>
      <c r="I24" s="21">
        <f t="shared" si="9"/>
        <v>64</v>
      </c>
      <c r="J24" s="22" t="str">
        <f t="shared" si="10"/>
        <v>$635.00</v>
      </c>
      <c r="K24" s="24">
        <f t="shared" si="11"/>
        <v>728764</v>
      </c>
      <c r="L24" s="24">
        <f t="shared" si="12"/>
        <v>7521663</v>
      </c>
      <c r="M24" s="18">
        <f t="shared" si="13"/>
        <v>6792899</v>
      </c>
      <c r="N24" s="23">
        <f t="shared" si="14"/>
        <v>422.43</v>
      </c>
      <c r="O24" s="25">
        <f t="shared" si="15"/>
        <v>2255</v>
      </c>
      <c r="P24" s="21">
        <f t="shared" si="16"/>
        <v>5</v>
      </c>
      <c r="U24" s="26" t="str">
        <f t="shared" si="17"/>
        <v>$675.00 CAD</v>
      </c>
      <c r="W24" s="22" t="str">
        <f t="shared" si="18"/>
        <v>3.975 / 5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>
      <c r="A25" s="22" t="str">
        <f t="shared" si="1"/>
        <v>Crystal Crest Kayaks</v>
      </c>
      <c r="B25" s="22" t="str">
        <f t="shared" si="2"/>
        <v>Leisure (Sit-On-Top)</v>
      </c>
      <c r="C25" s="22" t="str">
        <f t="shared" si="3"/>
        <v>High density</v>
      </c>
      <c r="D25" s="22" t="str">
        <f t="shared" si="4"/>
        <v>Yes</v>
      </c>
      <c r="E25" s="22" t="str">
        <f t="shared" si="5"/>
        <v>Yes</v>
      </c>
      <c r="F25" s="22" t="str">
        <f t="shared" si="6"/>
        <v>Canvas bag</v>
      </c>
      <c r="G25" s="22" t="str">
        <f t="shared" si="7"/>
        <v>4 years</v>
      </c>
      <c r="H25" s="22" t="str">
        <f t="shared" si="8"/>
        <v>3.85</v>
      </c>
      <c r="I25" s="21">
        <f t="shared" si="9"/>
        <v>64</v>
      </c>
      <c r="J25" s="22" t="str">
        <f t="shared" si="10"/>
        <v>$501.00</v>
      </c>
      <c r="K25" s="24">
        <f t="shared" si="11"/>
        <v>728764</v>
      </c>
      <c r="L25" s="24">
        <f t="shared" si="12"/>
        <v>7521663</v>
      </c>
      <c r="M25" s="18">
        <f t="shared" si="13"/>
        <v>6792899</v>
      </c>
      <c r="N25" s="23">
        <f t="shared" si="14"/>
        <v>422.43</v>
      </c>
      <c r="O25" s="25">
        <f t="shared" si="15"/>
        <v>2255</v>
      </c>
      <c r="P25" s="21">
        <f t="shared" si="16"/>
        <v>5</v>
      </c>
      <c r="U25" s="26" t="str">
        <f t="shared" si="17"/>
        <v>$585.00 CAD</v>
      </c>
      <c r="W25" s="22" t="str">
        <f t="shared" si="18"/>
        <v>4.05 / 5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>
      <c r="A26" s="22" t="str">
        <f t="shared" si="1"/>
        <v>Crystal Crest Kayaks</v>
      </c>
      <c r="B26" s="22" t="str">
        <f t="shared" si="2"/>
        <v>Excursion (Sit-In)</v>
      </c>
      <c r="C26" s="22" t="str">
        <f t="shared" si="3"/>
        <v>High density</v>
      </c>
      <c r="D26" s="22" t="str">
        <f t="shared" si="4"/>
        <v>Yes</v>
      </c>
      <c r="E26" s="22" t="str">
        <f t="shared" si="5"/>
        <v>Yes</v>
      </c>
      <c r="F26" s="22" t="str">
        <f t="shared" si="6"/>
        <v>Support</v>
      </c>
      <c r="G26" s="22" t="str">
        <f t="shared" si="7"/>
        <v>4 years</v>
      </c>
      <c r="H26" s="22" t="str">
        <f t="shared" si="8"/>
        <v>4.525</v>
      </c>
      <c r="I26" s="21">
        <f t="shared" si="9"/>
        <v>64</v>
      </c>
      <c r="J26" s="22" t="str">
        <f t="shared" si="10"/>
        <v>$715.00</v>
      </c>
      <c r="K26" s="24">
        <f t="shared" si="11"/>
        <v>728764</v>
      </c>
      <c r="L26" s="24">
        <f t="shared" si="12"/>
        <v>7521663</v>
      </c>
      <c r="M26" s="18">
        <f t="shared" si="13"/>
        <v>6792899</v>
      </c>
      <c r="N26" s="23">
        <f t="shared" si="14"/>
        <v>422.43</v>
      </c>
      <c r="O26" s="25">
        <f t="shared" si="15"/>
        <v>2255</v>
      </c>
      <c r="P26" s="21">
        <f t="shared" si="16"/>
        <v>5</v>
      </c>
      <c r="U26" s="26" t="str">
        <f t="shared" si="17"/>
        <v>$660.00 CAD</v>
      </c>
      <c r="W26" s="22" t="str">
        <f t="shared" si="18"/>
        <v>2.55 / 5</v>
      </c>
    </row>
    <row r="27">
      <c r="A27" s="22" t="str">
        <f t="shared" si="1"/>
        <v>Crystal Crest Kayaks</v>
      </c>
      <c r="B27" s="22" t="str">
        <f t="shared" si="2"/>
        <v>Tandem (Sit-In)</v>
      </c>
      <c r="C27" s="22" t="str">
        <f t="shared" si="3"/>
        <v>High density</v>
      </c>
      <c r="D27" s="22" t="str">
        <f t="shared" si="4"/>
        <v>Yes</v>
      </c>
      <c r="E27" s="22" t="str">
        <f t="shared" si="5"/>
        <v>Yes</v>
      </c>
      <c r="F27" s="22" t="str">
        <f t="shared" si="6"/>
        <v>Support</v>
      </c>
      <c r="G27" s="22" t="str">
        <f t="shared" si="7"/>
        <v>4 years</v>
      </c>
      <c r="H27" s="22" t="str">
        <f t="shared" si="8"/>
        <v>4.55</v>
      </c>
      <c r="I27" s="21">
        <f t="shared" si="9"/>
        <v>64</v>
      </c>
      <c r="J27" s="22" t="str">
        <f t="shared" si="10"/>
        <v>$900.00</v>
      </c>
      <c r="K27" s="24">
        <f t="shared" si="11"/>
        <v>728764</v>
      </c>
      <c r="L27" s="24">
        <f t="shared" si="12"/>
        <v>7521663</v>
      </c>
      <c r="M27" s="18">
        <f t="shared" si="13"/>
        <v>6792899</v>
      </c>
      <c r="N27" s="23">
        <f t="shared" si="14"/>
        <v>422.43</v>
      </c>
      <c r="O27" s="25">
        <f t="shared" si="15"/>
        <v>2255</v>
      </c>
      <c r="P27" s="21">
        <f t="shared" si="16"/>
        <v>5</v>
      </c>
      <c r="U27" s="26" t="str">
        <f t="shared" si="17"/>
        <v>$519.00 CAD</v>
      </c>
      <c r="W27" s="22" t="str">
        <f t="shared" si="18"/>
        <v>3 / 5</v>
      </c>
    </row>
    <row r="28">
      <c r="A28" s="22" t="str">
        <f t="shared" si="1"/>
        <v>InSync Kayaks</v>
      </c>
      <c r="B28" s="22" t="str">
        <f t="shared" si="2"/>
        <v>Leisure (Sit-In)</v>
      </c>
      <c r="C28" s="22" t="str">
        <f t="shared" si="3"/>
        <v>Low density</v>
      </c>
      <c r="D28" s="22" t="str">
        <f t="shared" si="4"/>
        <v>Yes</v>
      </c>
      <c r="E28" s="22" t="str">
        <f t="shared" si="5"/>
        <v>Yes</v>
      </c>
      <c r="F28" s="22" t="str">
        <f t="shared" si="6"/>
        <v>Canvas bag</v>
      </c>
      <c r="G28" s="22" t="str">
        <f t="shared" si="7"/>
        <v>4 years</v>
      </c>
      <c r="H28" s="22" t="str">
        <f t="shared" si="8"/>
        <v>2.675</v>
      </c>
      <c r="I28" s="21">
        <f t="shared" si="9"/>
        <v>60</v>
      </c>
      <c r="J28" s="22" t="str">
        <f t="shared" si="10"/>
        <v>$609.00</v>
      </c>
      <c r="K28" s="24">
        <f t="shared" si="11"/>
        <v>-222774</v>
      </c>
      <c r="L28" s="24">
        <f t="shared" si="12"/>
        <v>3752982</v>
      </c>
      <c r="M28" s="18">
        <f t="shared" si="13"/>
        <v>3975756</v>
      </c>
      <c r="N28" s="23">
        <f t="shared" si="14"/>
        <v>77.01</v>
      </c>
      <c r="O28" s="25">
        <f t="shared" si="15"/>
        <v>1304</v>
      </c>
      <c r="P28" s="21">
        <f t="shared" si="16"/>
        <v>14</v>
      </c>
      <c r="U28" s="26" t="str">
        <f t="shared" si="17"/>
        <v>$654.00 CAD</v>
      </c>
      <c r="W28" s="22" t="str">
        <f t="shared" si="18"/>
        <v>4.45 / 5</v>
      </c>
    </row>
    <row r="29">
      <c r="A29" s="22" t="str">
        <f t="shared" si="1"/>
        <v>InSync Kayaks</v>
      </c>
      <c r="B29" s="22" t="str">
        <f t="shared" si="2"/>
        <v>Leisure (Sit-In)</v>
      </c>
      <c r="C29" s="22" t="str">
        <f t="shared" si="3"/>
        <v>High density</v>
      </c>
      <c r="D29" s="22" t="str">
        <f t="shared" si="4"/>
        <v>Yes</v>
      </c>
      <c r="E29" s="22" t="str">
        <f t="shared" si="5"/>
        <v>Yes</v>
      </c>
      <c r="F29" s="22" t="str">
        <f t="shared" si="6"/>
        <v>Canvas bag</v>
      </c>
      <c r="G29" s="22" t="str">
        <f t="shared" si="7"/>
        <v>4 years</v>
      </c>
      <c r="H29" s="22" t="str">
        <f t="shared" si="8"/>
        <v>3.85</v>
      </c>
      <c r="I29" s="21">
        <f t="shared" si="9"/>
        <v>60</v>
      </c>
      <c r="J29" s="22" t="str">
        <f t="shared" si="10"/>
        <v>$690.00</v>
      </c>
      <c r="K29" s="24">
        <f t="shared" si="11"/>
        <v>-222774</v>
      </c>
      <c r="L29" s="24">
        <f t="shared" si="12"/>
        <v>3752982</v>
      </c>
      <c r="M29" s="18">
        <f t="shared" si="13"/>
        <v>3975756</v>
      </c>
      <c r="N29" s="23">
        <f t="shared" si="14"/>
        <v>77.01</v>
      </c>
      <c r="O29" s="25">
        <f t="shared" si="15"/>
        <v>1304</v>
      </c>
      <c r="P29" s="21">
        <f t="shared" si="16"/>
        <v>14</v>
      </c>
      <c r="U29" s="26" t="str">
        <f t="shared" si="17"/>
        <v>$574.00 CAD</v>
      </c>
      <c r="W29" s="22" t="str">
        <f t="shared" si="18"/>
        <v>4.55 / 5</v>
      </c>
    </row>
    <row r="30">
      <c r="A30" s="22" t="str">
        <f t="shared" ref="A30:A37" si="19">INDEX($B$52:$B$419, (F127 * 10) +1, 0)</f>
        <v>InSync Kayaks</v>
      </c>
      <c r="B30" s="22" t="str">
        <f t="shared" ref="B30:B37" si="20">INDEX($B$52:$B$419, (F127 * 10) +3, 0)</f>
        <v>Leisure (Sit-On-Top)</v>
      </c>
      <c r="C30" s="22" t="str">
        <f t="shared" ref="C30:C37" si="21">INDEX($B$52:$B$419, (F127 * 10) +4, 0)</f>
        <v>Low density</v>
      </c>
      <c r="D30" s="22" t="str">
        <f t="shared" ref="D30:D37" si="22">INDEX($B$52:$B$419, (F127 * 10) +5, 0)</f>
        <v>Yes</v>
      </c>
      <c r="E30" s="22" t="str">
        <f t="shared" ref="E30:E37" si="23">INDEX($B$52:$B$419, (F127 * 10) +6, 0)</f>
        <v>Yes</v>
      </c>
      <c r="F30" s="22" t="str">
        <f t="shared" ref="F30:F37" si="24">INDEX($B$52:$B$419, (F127 * 10) +7, 0)</f>
        <v>Canvas bag</v>
      </c>
      <c r="G30" s="22" t="str">
        <f t="shared" ref="G30:G37" si="25">INDEX($B$52:$B$419, (F127 * 10) +8, 0)</f>
        <v>4 years</v>
      </c>
      <c r="H30" s="22" t="str">
        <f t="shared" si="8"/>
        <v>3.175</v>
      </c>
      <c r="I30" s="21">
        <f t="shared" si="9"/>
        <v>60</v>
      </c>
      <c r="J30" s="22" t="str">
        <f t="shared" si="10"/>
        <v>$575.00</v>
      </c>
      <c r="K30" s="24">
        <f t="shared" si="11"/>
        <v>-222774</v>
      </c>
      <c r="L30" s="24">
        <f t="shared" si="12"/>
        <v>3752982</v>
      </c>
      <c r="M30" s="18">
        <f t="shared" si="13"/>
        <v>3975756</v>
      </c>
      <c r="N30" s="23">
        <f t="shared" si="14"/>
        <v>77.01</v>
      </c>
      <c r="O30" s="25">
        <f t="shared" si="15"/>
        <v>1304</v>
      </c>
      <c r="P30" s="21">
        <f t="shared" si="16"/>
        <v>14</v>
      </c>
      <c r="U30" s="26" t="str">
        <f t="shared" si="17"/>
        <v>$732.00 CAD</v>
      </c>
      <c r="W30" s="22" t="str">
        <f t="shared" si="18"/>
        <v>4.75 / 5</v>
      </c>
    </row>
    <row r="31">
      <c r="A31" s="22" t="str">
        <f t="shared" si="19"/>
        <v>DraKayak</v>
      </c>
      <c r="B31" s="22" t="str">
        <f t="shared" si="20"/>
        <v>Leisure (Sit-In)</v>
      </c>
      <c r="C31" s="22" t="str">
        <f t="shared" si="21"/>
        <v>High density</v>
      </c>
      <c r="D31" s="22" t="str">
        <f t="shared" si="22"/>
        <v>Yes</v>
      </c>
      <c r="E31" s="22" t="str">
        <f t="shared" si="23"/>
        <v>Yes</v>
      </c>
      <c r="F31" s="22" t="str">
        <f t="shared" si="24"/>
        <v>Canvas bag</v>
      </c>
      <c r="G31" s="22" t="str">
        <f t="shared" si="25"/>
        <v>2 years</v>
      </c>
      <c r="H31" s="22" t="str">
        <f t="shared" si="8"/>
        <v>3.775</v>
      </c>
      <c r="I31" s="21">
        <f t="shared" si="9"/>
        <v>58</v>
      </c>
      <c r="J31" s="22" t="str">
        <f t="shared" si="10"/>
        <v>$669.00</v>
      </c>
      <c r="K31" s="24">
        <f t="shared" si="11"/>
        <v>846367</v>
      </c>
      <c r="L31" s="24">
        <f t="shared" si="12"/>
        <v>9875416</v>
      </c>
      <c r="M31" s="18">
        <f t="shared" ref="M31:M42" si="26">$L31-$K31</f>
        <v>9029049</v>
      </c>
      <c r="N31" s="23">
        <f t="shared" si="14"/>
        <v>571.8</v>
      </c>
      <c r="O31" s="25">
        <f t="shared" si="15"/>
        <v>573</v>
      </c>
      <c r="P31" s="21">
        <f t="shared" si="16"/>
        <v>1</v>
      </c>
      <c r="U31" s="26" t="str">
        <f t="shared" si="17"/>
        <v>$704.00 CAD</v>
      </c>
      <c r="W31" s="22" t="str">
        <f t="shared" si="18"/>
        <v>4.15 / 5</v>
      </c>
    </row>
    <row r="32">
      <c r="A32" s="22" t="str">
        <f t="shared" si="19"/>
        <v>DraKayak</v>
      </c>
      <c r="B32" s="22" t="str">
        <f t="shared" si="20"/>
        <v>Tandem (Sit-In)</v>
      </c>
      <c r="C32" s="22" t="str">
        <f t="shared" si="21"/>
        <v>High density</v>
      </c>
      <c r="D32" s="22" t="str">
        <f t="shared" si="22"/>
        <v>Yes</v>
      </c>
      <c r="E32" s="22" t="str">
        <f t="shared" si="23"/>
        <v>Yes</v>
      </c>
      <c r="F32" s="22" t="str">
        <f t="shared" si="24"/>
        <v>Canvas bag</v>
      </c>
      <c r="G32" s="22" t="str">
        <f t="shared" si="25"/>
        <v>2 years</v>
      </c>
      <c r="H32" s="22" t="str">
        <f>SUBSTITUTE(W44," / 5" ,"")</f>
        <v>4</v>
      </c>
      <c r="I32" s="21">
        <f t="shared" si="9"/>
        <v>58</v>
      </c>
      <c r="J32" s="22" t="str">
        <f t="shared" si="10"/>
        <v>$819.00</v>
      </c>
      <c r="K32" s="24">
        <f t="shared" si="11"/>
        <v>846367</v>
      </c>
      <c r="L32" s="24">
        <f t="shared" si="12"/>
        <v>9875416</v>
      </c>
      <c r="M32" s="18">
        <f t="shared" si="26"/>
        <v>9029049</v>
      </c>
      <c r="N32" s="23">
        <f t="shared" si="14"/>
        <v>571.8</v>
      </c>
      <c r="O32" s="25">
        <f t="shared" si="15"/>
        <v>573</v>
      </c>
      <c r="P32" s="21">
        <f t="shared" si="16"/>
        <v>1</v>
      </c>
      <c r="U32" s="26" t="str">
        <f t="shared" si="17"/>
        <v>$665.00 CAD</v>
      </c>
      <c r="W32" s="22" t="str">
        <f t="shared" si="18"/>
        <v>4.45 / 5</v>
      </c>
    </row>
    <row r="33">
      <c r="A33" s="22" t="str">
        <f t="shared" si="19"/>
        <v>DraKayak</v>
      </c>
      <c r="B33" s="22" t="str">
        <f t="shared" si="20"/>
        <v>Excursion (Sit-In)</v>
      </c>
      <c r="C33" s="22" t="str">
        <f t="shared" si="21"/>
        <v>High density</v>
      </c>
      <c r="D33" s="22" t="str">
        <f t="shared" si="22"/>
        <v>Yes</v>
      </c>
      <c r="E33" s="22" t="str">
        <f t="shared" si="23"/>
        <v>No</v>
      </c>
      <c r="F33" s="22" t="str">
        <f t="shared" si="24"/>
        <v>Canvas bag</v>
      </c>
      <c r="G33" s="22" t="str">
        <f t="shared" si="25"/>
        <v>2 years</v>
      </c>
      <c r="H33" s="22" t="str">
        <f t="shared" ref="H33:H42" si="27">SUBSTITUTE(W43," / 5" ,"")</f>
        <v>3.9</v>
      </c>
      <c r="I33" s="21">
        <f t="shared" si="9"/>
        <v>58</v>
      </c>
      <c r="J33" s="22" t="str">
        <f t="shared" si="10"/>
        <v>$670.00</v>
      </c>
      <c r="K33" s="24">
        <f t="shared" si="11"/>
        <v>846367</v>
      </c>
      <c r="L33" s="24">
        <f t="shared" si="12"/>
        <v>9875416</v>
      </c>
      <c r="M33" s="18">
        <f t="shared" si="26"/>
        <v>9029049</v>
      </c>
      <c r="N33" s="23">
        <f t="shared" si="14"/>
        <v>571.8</v>
      </c>
      <c r="O33" s="25">
        <f t="shared" si="15"/>
        <v>573</v>
      </c>
      <c r="P33" s="21">
        <f t="shared" si="16"/>
        <v>1</v>
      </c>
      <c r="U33" s="26" t="str">
        <f t="shared" si="17"/>
        <v>$608.00 CAD</v>
      </c>
      <c r="W33" s="22" t="str">
        <f t="shared" si="18"/>
        <v>3.75 / 5</v>
      </c>
    </row>
    <row r="34">
      <c r="A34" s="22" t="str">
        <f t="shared" si="19"/>
        <v>Under The Paddle</v>
      </c>
      <c r="B34" s="22" t="str">
        <f t="shared" si="20"/>
        <v>Leisure (Sit-In)</v>
      </c>
      <c r="C34" s="22" t="str">
        <f t="shared" si="21"/>
        <v>High density</v>
      </c>
      <c r="D34" s="22" t="str">
        <f t="shared" si="22"/>
        <v>Yes</v>
      </c>
      <c r="E34" s="22" t="str">
        <f t="shared" si="23"/>
        <v>Yes</v>
      </c>
      <c r="F34" s="22" t="str">
        <f t="shared" si="24"/>
        <v>Canvas bag</v>
      </c>
      <c r="G34" s="22" t="str">
        <f t="shared" si="25"/>
        <v>4 years</v>
      </c>
      <c r="H34" s="22" t="str">
        <f t="shared" si="27"/>
        <v>4</v>
      </c>
      <c r="I34" s="21">
        <f t="shared" si="9"/>
        <v>55</v>
      </c>
      <c r="J34" s="22" t="str">
        <f t="shared" si="10"/>
        <v>$690.00</v>
      </c>
      <c r="K34" s="24">
        <f t="shared" si="11"/>
        <v>884369</v>
      </c>
      <c r="L34" s="24">
        <f t="shared" si="12"/>
        <v>8551520</v>
      </c>
      <c r="M34" s="18">
        <f t="shared" si="26"/>
        <v>7667151</v>
      </c>
      <c r="N34" s="23">
        <f t="shared" si="14"/>
        <v>426.73</v>
      </c>
      <c r="O34" s="25">
        <f t="shared" si="15"/>
        <v>510</v>
      </c>
      <c r="P34" s="21">
        <f t="shared" si="16"/>
        <v>4</v>
      </c>
      <c r="U34" s="26" t="str">
        <f t="shared" si="17"/>
        <v>$635.00 CAD</v>
      </c>
      <c r="W34" s="22" t="str">
        <f t="shared" si="18"/>
        <v>4.025 / 5</v>
      </c>
    </row>
    <row r="35">
      <c r="A35" s="22" t="str">
        <f t="shared" si="19"/>
        <v>Under The Paddle</v>
      </c>
      <c r="B35" s="22" t="str">
        <f t="shared" si="20"/>
        <v>Leisure (Sit-On-Top)</v>
      </c>
      <c r="C35" s="22" t="str">
        <f t="shared" si="21"/>
        <v>High density</v>
      </c>
      <c r="D35" s="22" t="str">
        <f t="shared" si="22"/>
        <v>No</v>
      </c>
      <c r="E35" s="22" t="str">
        <f t="shared" si="23"/>
        <v>Yes</v>
      </c>
      <c r="F35" s="22" t="str">
        <f t="shared" si="24"/>
        <v>Canvas bag</v>
      </c>
      <c r="G35" s="22" t="str">
        <f t="shared" si="25"/>
        <v>4 years</v>
      </c>
      <c r="H35" s="22" t="str">
        <f t="shared" si="27"/>
        <v>3.925</v>
      </c>
      <c r="I35" s="21">
        <f t="shared" si="9"/>
        <v>55</v>
      </c>
      <c r="J35" s="22" t="str">
        <f t="shared" si="10"/>
        <v>$557.00</v>
      </c>
      <c r="K35" s="24">
        <f t="shared" si="11"/>
        <v>884369</v>
      </c>
      <c r="L35" s="24">
        <f t="shared" si="12"/>
        <v>8551520</v>
      </c>
      <c r="M35" s="18">
        <f t="shared" si="26"/>
        <v>7667151</v>
      </c>
      <c r="N35" s="23">
        <f t="shared" si="14"/>
        <v>426.73</v>
      </c>
      <c r="O35" s="25">
        <f t="shared" si="15"/>
        <v>510</v>
      </c>
      <c r="P35" s="21">
        <f t="shared" si="16"/>
        <v>4</v>
      </c>
      <c r="U35" s="26" t="str">
        <f t="shared" si="17"/>
        <v>$501.00 CAD</v>
      </c>
      <c r="W35" s="22" t="str">
        <f t="shared" si="18"/>
        <v>3.85 / 5</v>
      </c>
    </row>
    <row r="36">
      <c r="A36" s="22" t="str">
        <f t="shared" si="19"/>
        <v>Great Lakes Kayak Co</v>
      </c>
      <c r="B36" s="22" t="str">
        <f t="shared" si="20"/>
        <v>Leisure (Sit-In)</v>
      </c>
      <c r="C36" s="22" t="str">
        <f t="shared" si="21"/>
        <v>Low density</v>
      </c>
      <c r="D36" s="22" t="str">
        <f t="shared" si="22"/>
        <v>Yes</v>
      </c>
      <c r="E36" s="22" t="str">
        <f t="shared" si="23"/>
        <v>Yes</v>
      </c>
      <c r="F36" s="22" t="str">
        <f t="shared" si="24"/>
        <v>Plastic film</v>
      </c>
      <c r="G36" s="22" t="str">
        <f t="shared" si="25"/>
        <v>Basic</v>
      </c>
      <c r="H36" s="22" t="str">
        <f t="shared" si="27"/>
        <v>2.625</v>
      </c>
      <c r="I36" s="21">
        <f t="shared" si="9"/>
        <v>52</v>
      </c>
      <c r="J36" s="22" t="str">
        <f t="shared" si="10"/>
        <v>$605.00</v>
      </c>
      <c r="K36" s="24">
        <f t="shared" si="11"/>
        <v>1012843</v>
      </c>
      <c r="L36" s="24">
        <f t="shared" si="12"/>
        <v>10569568</v>
      </c>
      <c r="M36" s="18">
        <f t="shared" si="26"/>
        <v>9556725</v>
      </c>
      <c r="N36" s="23">
        <f t="shared" si="14"/>
        <v>430.19</v>
      </c>
      <c r="O36" s="25">
        <f t="shared" si="15"/>
        <v>3305</v>
      </c>
      <c r="P36" s="21">
        <f t="shared" si="16"/>
        <v>3</v>
      </c>
      <c r="U36" s="26" t="str">
        <f t="shared" si="17"/>
        <v>$715.00 CAD</v>
      </c>
      <c r="W36" s="22" t="str">
        <f t="shared" si="18"/>
        <v>4.525 / 5</v>
      </c>
    </row>
    <row r="37">
      <c r="A37" s="22" t="str">
        <f t="shared" si="19"/>
        <v>Great Lakes Kayak Co</v>
      </c>
      <c r="B37" s="22" t="str">
        <f t="shared" si="20"/>
        <v>Tandem (Sit-In)</v>
      </c>
      <c r="C37" s="22" t="str">
        <f t="shared" si="21"/>
        <v>Low density</v>
      </c>
      <c r="D37" s="22" t="str">
        <f t="shared" si="22"/>
        <v>Yes</v>
      </c>
      <c r="E37" s="22" t="str">
        <f t="shared" si="23"/>
        <v>No</v>
      </c>
      <c r="F37" s="22" t="str">
        <f t="shared" si="24"/>
        <v>Plastic film</v>
      </c>
      <c r="G37" s="22" t="str">
        <f t="shared" si="25"/>
        <v>Basic</v>
      </c>
      <c r="H37" s="22" t="str">
        <f t="shared" si="27"/>
        <v>2.5</v>
      </c>
      <c r="I37" s="21">
        <f t="shared" si="9"/>
        <v>52</v>
      </c>
      <c r="J37" s="22" t="str">
        <f t="shared" ref="J37:J41" si="28">SUBSTITUTE(INDEX($B$52:$B$500, (F134 * 10) +10, 0), " CAD" , "")</f>
        <v>$785.00</v>
      </c>
      <c r="K37" s="24">
        <f t="shared" si="11"/>
        <v>1012843</v>
      </c>
      <c r="L37" s="24">
        <f t="shared" si="12"/>
        <v>10569568</v>
      </c>
      <c r="M37" s="18">
        <f t="shared" si="26"/>
        <v>9556725</v>
      </c>
      <c r="N37" s="23">
        <f t="shared" si="14"/>
        <v>430.19</v>
      </c>
      <c r="O37" s="25">
        <f t="shared" si="15"/>
        <v>3305</v>
      </c>
      <c r="P37" s="21">
        <f t="shared" si="16"/>
        <v>3</v>
      </c>
      <c r="U37" s="26" t="str">
        <f t="shared" si="17"/>
        <v>$900.00 CAD</v>
      </c>
      <c r="W37" s="22" t="str">
        <f t="shared" si="18"/>
        <v>4.55 / 5</v>
      </c>
    </row>
    <row r="38">
      <c r="A38" s="22" t="str">
        <f t="shared" ref="A38:A41" si="29">INDEX($B$52:$B$500, (F135 * 10) +1, 0)</f>
        <v>Great Lakes Kayak Co</v>
      </c>
      <c r="B38" s="22" t="str">
        <f t="shared" ref="B38:B41" si="30">INDEX($B$52:$B$500, (F135 * 10) +3, 0)</f>
        <v>Fishing (Sit-On-Top)</v>
      </c>
      <c r="C38" s="22" t="str">
        <f t="shared" ref="C38:C41" si="31">INDEX($B$52:$B$500, (F135 * 10) +4, 0)</f>
        <v>Low density</v>
      </c>
      <c r="D38" s="22" t="str">
        <f t="shared" ref="D38:D41" si="32">INDEX($B$52:$B$500, (F135 * 10) +5, 0)</f>
        <v>Yes</v>
      </c>
      <c r="E38" s="22" t="str">
        <f t="shared" ref="E38:E41" si="33">INDEX($B$52:$B$500, (F135 * 10) +6, 0)</f>
        <v>No</v>
      </c>
      <c r="F38" s="22" t="str">
        <f t="shared" ref="F38:F41" si="34">INDEX($B$52:$B$500, (F135 * 10) +7, 0)</f>
        <v>Plastic film</v>
      </c>
      <c r="G38" s="22" t="str">
        <f t="shared" ref="G38:G41" si="35">INDEX($B$52:$B$500, (F135 * 10) +8, 0)</f>
        <v>Basic</v>
      </c>
      <c r="H38" s="22" t="str">
        <f t="shared" si="27"/>
        <v>2.575</v>
      </c>
      <c r="I38" s="21">
        <f t="shared" si="9"/>
        <v>52</v>
      </c>
      <c r="J38" s="22" t="str">
        <f t="shared" si="28"/>
        <v>$545.00</v>
      </c>
      <c r="K38" s="24">
        <f t="shared" si="11"/>
        <v>1012843</v>
      </c>
      <c r="L38" s="24">
        <f t="shared" si="12"/>
        <v>10569568</v>
      </c>
      <c r="M38" s="18">
        <f t="shared" si="26"/>
        <v>9556725</v>
      </c>
      <c r="N38" s="23">
        <f t="shared" si="14"/>
        <v>430.19</v>
      </c>
      <c r="O38" s="25">
        <f t="shared" si="15"/>
        <v>3305</v>
      </c>
      <c r="P38" s="21">
        <f t="shared" si="16"/>
        <v>3</v>
      </c>
      <c r="U38" s="26" t="str">
        <f t="shared" ref="U38:U48" si="36">INDEX($B$52:$B$400, (F125 * 10) +10, 0)</f>
        <v>$609.00 CAD</v>
      </c>
      <c r="W38" s="22" t="str">
        <f t="shared" si="18"/>
        <v>2.675 / 5</v>
      </c>
    </row>
    <row r="39">
      <c r="A39" s="22" t="str">
        <f t="shared" si="29"/>
        <v>Bluewater Kayaks</v>
      </c>
      <c r="B39" s="22" t="str">
        <f t="shared" si="30"/>
        <v>Leisure (Sit-In)</v>
      </c>
      <c r="C39" s="22" t="str">
        <f t="shared" si="31"/>
        <v>High density</v>
      </c>
      <c r="D39" s="22" t="str">
        <f t="shared" si="32"/>
        <v>Yes</v>
      </c>
      <c r="E39" s="22" t="str">
        <f t="shared" si="33"/>
        <v>Yes</v>
      </c>
      <c r="F39" s="22" t="str">
        <f t="shared" si="34"/>
        <v>Support</v>
      </c>
      <c r="G39" s="22" t="str">
        <f t="shared" si="35"/>
        <v>4 years</v>
      </c>
      <c r="H39" s="22" t="str">
        <f t="shared" si="27"/>
        <v>4.125</v>
      </c>
      <c r="I39" s="21">
        <f t="shared" si="9"/>
        <v>66</v>
      </c>
      <c r="J39" s="22" t="str">
        <f t="shared" si="28"/>
        <v>$705.00</v>
      </c>
      <c r="K39" s="24">
        <f t="shared" si="11"/>
        <v>826634</v>
      </c>
      <c r="L39" s="24">
        <f t="shared" si="12"/>
        <v>8382123</v>
      </c>
      <c r="M39" s="18">
        <f t="shared" si="26"/>
        <v>7555489</v>
      </c>
      <c r="N39" s="23">
        <f t="shared" si="14"/>
        <v>412.02</v>
      </c>
      <c r="O39" s="25">
        <f t="shared" si="15"/>
        <v>441</v>
      </c>
      <c r="P39" s="21">
        <f t="shared" si="16"/>
        <v>6</v>
      </c>
      <c r="U39" s="26" t="str">
        <f t="shared" si="36"/>
        <v>$690.00 CAD</v>
      </c>
      <c r="W39" s="22" t="str">
        <f t="shared" ref="W39:W46" si="37">INDEX($B$52:$B$419, (F126 * 10) +9, 0)</f>
        <v>3.85 / 5</v>
      </c>
    </row>
    <row r="40">
      <c r="A40" s="22" t="str">
        <f t="shared" si="29"/>
        <v>Bluewater Kayaks</v>
      </c>
      <c r="B40" s="22" t="str">
        <f t="shared" si="30"/>
        <v>Excursion (Sit-In)</v>
      </c>
      <c r="C40" s="22" t="str">
        <f t="shared" si="31"/>
        <v>High density</v>
      </c>
      <c r="D40" s="22" t="str">
        <f t="shared" si="32"/>
        <v>Yes</v>
      </c>
      <c r="E40" s="22" t="str">
        <f t="shared" si="33"/>
        <v>Yes</v>
      </c>
      <c r="F40" s="22" t="str">
        <f t="shared" si="34"/>
        <v>Support</v>
      </c>
      <c r="G40" s="22" t="str">
        <f t="shared" si="35"/>
        <v>4 years</v>
      </c>
      <c r="H40" s="22" t="str">
        <f t="shared" si="27"/>
        <v>4.35</v>
      </c>
      <c r="I40" s="21">
        <f t="shared" si="9"/>
        <v>66</v>
      </c>
      <c r="J40" s="22" t="str">
        <f t="shared" si="28"/>
        <v>$760.00</v>
      </c>
      <c r="K40" s="24">
        <f t="shared" si="11"/>
        <v>826634</v>
      </c>
      <c r="L40" s="24">
        <f t="shared" si="12"/>
        <v>8382123</v>
      </c>
      <c r="M40" s="18">
        <f t="shared" si="26"/>
        <v>7555489</v>
      </c>
      <c r="N40" s="23">
        <f t="shared" si="14"/>
        <v>412.02</v>
      </c>
      <c r="O40" s="25">
        <f t="shared" si="15"/>
        <v>441</v>
      </c>
      <c r="P40" s="21">
        <f t="shared" si="16"/>
        <v>6</v>
      </c>
      <c r="U40" s="26" t="str">
        <f t="shared" si="36"/>
        <v>$575.00 CAD</v>
      </c>
      <c r="W40" s="22" t="str">
        <f t="shared" si="37"/>
        <v>3.175 / 5</v>
      </c>
    </row>
    <row r="41">
      <c r="A41" s="22" t="str">
        <f t="shared" si="29"/>
        <v>Bluewater Kayaks</v>
      </c>
      <c r="B41" s="22" t="str">
        <f t="shared" si="30"/>
        <v>Tandem (Sit-In)</v>
      </c>
      <c r="C41" s="22" t="str">
        <f t="shared" si="31"/>
        <v>High density</v>
      </c>
      <c r="D41" s="22" t="str">
        <f t="shared" si="32"/>
        <v>Yes</v>
      </c>
      <c r="E41" s="22" t="str">
        <f t="shared" si="33"/>
        <v>Yes</v>
      </c>
      <c r="F41" s="22" t="str">
        <f t="shared" si="34"/>
        <v>Support</v>
      </c>
      <c r="G41" s="22" t="str">
        <f t="shared" si="35"/>
        <v>4 years</v>
      </c>
      <c r="H41" s="22" t="str">
        <f t="shared" si="27"/>
        <v>4.45</v>
      </c>
      <c r="I41" s="21">
        <f t="shared" si="9"/>
        <v>66</v>
      </c>
      <c r="J41" s="22" t="str">
        <f t="shared" si="28"/>
        <v>$901.00</v>
      </c>
      <c r="K41" s="24">
        <f t="shared" si="11"/>
        <v>826634</v>
      </c>
      <c r="L41" s="24">
        <f t="shared" si="12"/>
        <v>8382123</v>
      </c>
      <c r="M41" s="18">
        <f t="shared" si="26"/>
        <v>7555489</v>
      </c>
      <c r="N41" s="23">
        <f t="shared" si="14"/>
        <v>412.02</v>
      </c>
      <c r="O41" s="25">
        <f t="shared" si="15"/>
        <v>441</v>
      </c>
      <c r="P41" s="21">
        <f t="shared" si="16"/>
        <v>6</v>
      </c>
      <c r="U41" s="26" t="str">
        <f t="shared" si="36"/>
        <v>$669.00 CAD</v>
      </c>
      <c r="W41" s="22" t="str">
        <f t="shared" si="37"/>
        <v>3.775 / 5</v>
      </c>
    </row>
    <row r="42">
      <c r="A42" s="22" t="str">
        <f t="array" ref="A42">INDEX($B$52:$B$419, (F139 * 10) +1, 0)</f>
        <v>#NUM!</v>
      </c>
      <c r="B42" s="22" t="str">
        <f t="array" ref="B42">INDEX($B$52:$B$419, (F139 * 10) +3, 0)</f>
        <v>#NUM!</v>
      </c>
      <c r="C42" s="22" t="str">
        <f t="array" ref="C42">INDEX($B$52:$B$419, (F139 * 10) +4, 0)</f>
        <v>#NUM!</v>
      </c>
      <c r="D42" s="22" t="str">
        <f t="array" ref="D42">INDEX($B$52:$B$419, (F139 * 10) +5, 0)</f>
        <v>#NUM!</v>
      </c>
      <c r="E42" s="22" t="str">
        <f t="array" ref="E42">INDEX($B$52:$B$419, (F139 * 10) +6, 0)</f>
        <v>#NUM!</v>
      </c>
      <c r="F42" s="22" t="str">
        <f t="array" ref="F42">INDEX($B$52:$B$419, (F139 * 10) +7, 0)</f>
        <v>#NUM!</v>
      </c>
      <c r="G42" s="22" t="str">
        <f t="array" ref="G42">INDEX($B$52:$B$419, (F139 * 10) +8, 0)</f>
        <v>#NUM!</v>
      </c>
      <c r="H42" s="22" t="str">
        <f t="shared" si="27"/>
        <v/>
      </c>
      <c r="I42" s="21" t="str">
        <f t="shared" si="9"/>
        <v>#NUM!</v>
      </c>
      <c r="J42" s="22" t="str">
        <f t="array" ref="J42">SUBSTITUTE(INDEX($B$52:$B$419, (F139 * 10) +10, 0), " CAD" , "")</f>
        <v>#NUM!</v>
      </c>
      <c r="K42" s="24" t="str">
        <f t="shared" si="11"/>
        <v>#NUM!</v>
      </c>
      <c r="L42" s="24" t="str">
        <f t="shared" si="12"/>
        <v>#NUM!</v>
      </c>
      <c r="M42" s="18" t="str">
        <f t="shared" si="26"/>
        <v>#NUM!</v>
      </c>
      <c r="N42" s="23" t="str">
        <f t="shared" si="14"/>
        <v>#NUM!</v>
      </c>
      <c r="O42" s="22" t="str">
        <f t="shared" si="15"/>
        <v>#NUM!</v>
      </c>
      <c r="P42" s="21" t="str">
        <f t="shared" si="16"/>
        <v>#NUM!</v>
      </c>
      <c r="U42" s="26" t="str">
        <f t="shared" si="36"/>
        <v>$819.00 CAD</v>
      </c>
      <c r="W42" s="22" t="str">
        <f t="shared" si="37"/>
        <v>4.05 / 5</v>
      </c>
    </row>
    <row r="43">
      <c r="L43" s="21"/>
      <c r="U43" s="26" t="str">
        <f t="shared" si="36"/>
        <v>$670.00 CAD</v>
      </c>
      <c r="W43" s="22" t="str">
        <f t="shared" si="37"/>
        <v>3.9 / 5</v>
      </c>
    </row>
    <row r="44">
      <c r="L44" s="21"/>
      <c r="U44" s="26" t="str">
        <f t="shared" si="36"/>
        <v>$690.00 CAD</v>
      </c>
      <c r="W44" s="22" t="str">
        <f t="shared" si="37"/>
        <v>4 / 5</v>
      </c>
    </row>
    <row r="45">
      <c r="L45" s="21"/>
      <c r="Q45" s="28"/>
      <c r="U45" s="26" t="str">
        <f t="shared" si="36"/>
        <v>$557.00 CAD</v>
      </c>
      <c r="W45" s="22" t="str">
        <f t="shared" si="37"/>
        <v>3.925 / 5</v>
      </c>
    </row>
    <row r="46">
      <c r="L46" s="21"/>
      <c r="P46" s="29"/>
      <c r="U46" s="26" t="str">
        <f t="shared" si="36"/>
        <v>#NUM!</v>
      </c>
      <c r="W46" s="22" t="str">
        <f t="shared" si="37"/>
        <v>2.625 / 5</v>
      </c>
    </row>
    <row r="47">
      <c r="L47" s="21"/>
      <c r="U47" s="26" t="str">
        <f t="shared" si="36"/>
        <v>#NUM!</v>
      </c>
      <c r="W47" s="22" t="str">
        <f t="shared" ref="W47:W51" si="38">INDEX($B$52:$B$500, (F134 * 10) +9, 0)</f>
        <v>2.5 / 5</v>
      </c>
    </row>
    <row r="48">
      <c r="L48" s="21"/>
      <c r="U48" s="26" t="str">
        <f t="shared" si="36"/>
        <v>#NUM!</v>
      </c>
      <c r="W48" s="22" t="str">
        <f t="shared" si="38"/>
        <v>2.575 / 5</v>
      </c>
    </row>
    <row r="49">
      <c r="L49" s="21"/>
      <c r="W49" s="22" t="str">
        <f t="shared" si="38"/>
        <v>4.125 / 5</v>
      </c>
    </row>
    <row r="50">
      <c r="L50" s="21"/>
      <c r="W50" s="22" t="str">
        <f t="shared" si="38"/>
        <v>4.35 / 5</v>
      </c>
    </row>
    <row r="51">
      <c r="B51" s="30"/>
      <c r="I51" s="22" t="str">
        <f t="array" ref="I51">INDEX($P$462:$P$500, (F139 * 10) +9, 0)</f>
        <v>#NUM!</v>
      </c>
      <c r="W51" s="22" t="str">
        <f t="shared" si="38"/>
        <v>4.45 / 5</v>
      </c>
    </row>
    <row r="52">
      <c r="B52" s="2" t="s">
        <v>30</v>
      </c>
    </row>
    <row r="53">
      <c r="B53" s="2" t="s">
        <v>313</v>
      </c>
      <c r="C53" s="1" t="s">
        <v>314</v>
      </c>
      <c r="D53" s="1" t="s">
        <v>315</v>
      </c>
      <c r="G53" s="1" t="s">
        <v>316</v>
      </c>
      <c r="L53" s="1" t="s">
        <v>317</v>
      </c>
      <c r="O53" s="1" t="s">
        <v>316</v>
      </c>
      <c r="S53" s="1" t="s">
        <v>114</v>
      </c>
      <c r="Y53" s="1" t="s">
        <v>318</v>
      </c>
    </row>
    <row r="54">
      <c r="B54" s="31" t="s">
        <v>115</v>
      </c>
      <c r="C54" s="13">
        <v>1.0</v>
      </c>
      <c r="D54" s="22" t="str">
        <f t="shared" ref="D54:D68" si="39">INDEX($C$54:$C$98,(F99 *3)+2,1)</f>
        <v>DraKayak</v>
      </c>
      <c r="E54" s="23">
        <f t="shared" ref="E54:E68" si="40">INDEX($C$54:$C$98,(F99 *3)+3,1)</f>
        <v>571.8</v>
      </c>
      <c r="F54" s="1">
        <v>1.0</v>
      </c>
      <c r="G54" s="13">
        <v>1.0</v>
      </c>
      <c r="H54" s="32"/>
      <c r="I54" s="22" t="str">
        <f t="shared" ref="I54:I68" si="41">INDEX($G$54:$G$98, V54)</f>
        <v>Great Lakes Kayak Co</v>
      </c>
      <c r="J54" s="18">
        <f t="shared" ref="J54:J68" si="42">INDEX($G$54:$G$98, V54+1)</f>
        <v>1012843</v>
      </c>
      <c r="L54" s="13">
        <v>1.0</v>
      </c>
      <c r="M54" s="21" t="str">
        <f t="shared" ref="M54:M68" si="43">INDEX($L$54:$L$98, V54)</f>
        <v>Great Lakes Kayak Co</v>
      </c>
      <c r="N54" s="24">
        <f t="shared" ref="N54:N68" si="44">INDEX($L$54:$L$98, V54+1)</f>
        <v>10569568</v>
      </c>
      <c r="O54" s="13">
        <v>1.0</v>
      </c>
      <c r="P54" s="22" t="str">
        <f t="shared" ref="P54:P68" si="45">INDEX($O$54:$O$98, V54)</f>
        <v>DraKayak</v>
      </c>
      <c r="Q54" s="24">
        <f t="shared" ref="Q54:Q68" si="46">INDEX($O$54:$O$98, V54+1)</f>
        <v>1176606</v>
      </c>
      <c r="S54" s="13">
        <v>1.0</v>
      </c>
      <c r="T54" s="21" t="str">
        <f t="shared" ref="T54:T68" si="47">INDEX($S$54:$S$98, V54)</f>
        <v>ElevationKayaks</v>
      </c>
      <c r="U54" s="22">
        <f t="shared" ref="U54:U68" si="48">INDEX($S$54:$S$98, V54+1)</f>
        <v>336</v>
      </c>
      <c r="V54" s="1">
        <v>2.0</v>
      </c>
      <c r="X54" s="13">
        <v>1.0</v>
      </c>
      <c r="Y54" s="21" t="str">
        <f t="shared" ref="Y54:Y68" si="49">INDEX($X$54:$X$98, V54)</f>
        <v>Ramm</v>
      </c>
      <c r="Z54" s="22">
        <f t="shared" ref="Z54:Z68" si="50">INDEX($X$54:$X$98, V54+1)</f>
        <v>68</v>
      </c>
    </row>
    <row r="55">
      <c r="B55" s="3" t="s">
        <v>13</v>
      </c>
      <c r="C55" s="13" t="s">
        <v>29</v>
      </c>
      <c r="D55" s="22" t="str">
        <f t="shared" si="39"/>
        <v>Ramm</v>
      </c>
      <c r="E55" s="23">
        <f t="shared" si="40"/>
        <v>431.22</v>
      </c>
      <c r="F55" s="1">
        <v>2.0</v>
      </c>
      <c r="G55" s="13" t="s">
        <v>25</v>
      </c>
      <c r="H55" s="32"/>
      <c r="I55" s="22" t="str">
        <f t="shared" si="41"/>
        <v>Under The Paddle</v>
      </c>
      <c r="J55" s="18">
        <f t="shared" si="42"/>
        <v>884369</v>
      </c>
      <c r="L55" s="13" t="s">
        <v>25</v>
      </c>
      <c r="M55" s="21" t="str">
        <f t="shared" si="43"/>
        <v>DraKayak</v>
      </c>
      <c r="N55" s="24">
        <f t="shared" si="44"/>
        <v>9875416</v>
      </c>
      <c r="O55" s="13" t="s">
        <v>29</v>
      </c>
      <c r="P55" s="22" t="str">
        <f t="shared" si="45"/>
        <v>Under The Paddle</v>
      </c>
      <c r="Q55" s="24">
        <f t="shared" si="46"/>
        <v>1033789</v>
      </c>
      <c r="S55" s="13" t="s">
        <v>27</v>
      </c>
      <c r="T55" s="21" t="str">
        <f t="shared" si="47"/>
        <v>Freeflow Kayaks</v>
      </c>
      <c r="U55" s="22">
        <f t="shared" si="48"/>
        <v>336</v>
      </c>
      <c r="V55" s="22">
        <f t="shared" ref="V55:V98" si="51">V54+3</f>
        <v>5</v>
      </c>
      <c r="X55" s="13" t="s">
        <v>23</v>
      </c>
      <c r="Y55" s="21" t="str">
        <f t="shared" si="49"/>
        <v>Bluewater Kayaks</v>
      </c>
      <c r="Z55" s="22">
        <f t="shared" si="50"/>
        <v>66</v>
      </c>
    </row>
    <row r="56">
      <c r="B56" s="3" t="s">
        <v>38</v>
      </c>
      <c r="C56" s="33">
        <v>571.8</v>
      </c>
      <c r="D56" s="22" t="str">
        <f t="shared" si="39"/>
        <v>Great Lakes Kayak Co</v>
      </c>
      <c r="E56" s="23">
        <f t="shared" si="40"/>
        <v>430.19</v>
      </c>
      <c r="F56" s="1">
        <v>3.0</v>
      </c>
      <c r="G56" s="6">
        <v>1012843.0</v>
      </c>
      <c r="H56" s="32"/>
      <c r="I56" s="22" t="str">
        <f t="shared" si="41"/>
        <v>DraKayak</v>
      </c>
      <c r="J56" s="18">
        <f t="shared" si="42"/>
        <v>846367</v>
      </c>
      <c r="L56" s="6">
        <v>1.0569568E7</v>
      </c>
      <c r="M56" s="21" t="str">
        <f t="shared" si="43"/>
        <v>Under The Paddle</v>
      </c>
      <c r="N56" s="24">
        <f t="shared" si="44"/>
        <v>8551520</v>
      </c>
      <c r="O56" s="6">
        <v>1176606.0</v>
      </c>
      <c r="P56" s="22" t="str">
        <f t="shared" si="45"/>
        <v>Great Lakes Kayak Co</v>
      </c>
      <c r="Q56" s="24">
        <f t="shared" si="46"/>
        <v>952841</v>
      </c>
      <c r="S56" s="13">
        <v>336.0</v>
      </c>
      <c r="T56" s="21" t="str">
        <f t="shared" si="47"/>
        <v>MarineX</v>
      </c>
      <c r="U56" s="22">
        <f t="shared" si="48"/>
        <v>364</v>
      </c>
      <c r="V56" s="22">
        <f t="shared" si="51"/>
        <v>8</v>
      </c>
      <c r="X56" s="13">
        <v>68.0</v>
      </c>
      <c r="Y56" s="21" t="str">
        <f t="shared" si="49"/>
        <v>Sea Splash Kayaks</v>
      </c>
      <c r="Z56" s="22">
        <f t="shared" si="50"/>
        <v>64</v>
      </c>
    </row>
    <row r="57">
      <c r="B57" s="34" t="s">
        <v>38</v>
      </c>
      <c r="C57" s="13">
        <v>2.0</v>
      </c>
      <c r="D57" s="22" t="str">
        <f t="shared" si="39"/>
        <v>Under The Paddle</v>
      </c>
      <c r="E57" s="23">
        <f t="shared" si="40"/>
        <v>426.73</v>
      </c>
      <c r="F57" s="1">
        <v>4.0</v>
      </c>
      <c r="G57" s="13">
        <v>2.0</v>
      </c>
      <c r="H57" s="32"/>
      <c r="I57" s="22" t="str">
        <f t="shared" si="41"/>
        <v>Bluewater Kayaks</v>
      </c>
      <c r="J57" s="18">
        <f t="shared" si="42"/>
        <v>826634</v>
      </c>
      <c r="L57" s="13">
        <v>2.0</v>
      </c>
      <c r="M57" s="21" t="str">
        <f t="shared" si="43"/>
        <v>Sea Splash Kayaks</v>
      </c>
      <c r="N57" s="24">
        <f t="shared" si="44"/>
        <v>8422978</v>
      </c>
      <c r="O57" s="13">
        <v>2.0</v>
      </c>
      <c r="P57" s="22" t="str">
        <f t="shared" si="45"/>
        <v>Crystal Crest Kayaks</v>
      </c>
      <c r="Q57" s="24">
        <f t="shared" si="46"/>
        <v>839298</v>
      </c>
      <c r="S57" s="13">
        <v>2.0</v>
      </c>
      <c r="T57" s="21" t="str">
        <f t="shared" si="47"/>
        <v>Ramm</v>
      </c>
      <c r="U57" s="22">
        <f t="shared" si="48"/>
        <v>436</v>
      </c>
      <c r="V57" s="22">
        <f t="shared" si="51"/>
        <v>11</v>
      </c>
      <c r="X57" s="14">
        <v>2.0</v>
      </c>
      <c r="Y57" s="21" t="str">
        <f t="shared" si="49"/>
        <v>Crystal Crest Kayaks</v>
      </c>
      <c r="Z57" s="22">
        <f t="shared" si="50"/>
        <v>64</v>
      </c>
    </row>
    <row r="58">
      <c r="B58" s="3" t="s">
        <v>136</v>
      </c>
      <c r="C58" s="13" t="s">
        <v>23</v>
      </c>
      <c r="D58" s="22" t="str">
        <f t="shared" si="39"/>
        <v>Crystal Crest Kayaks</v>
      </c>
      <c r="E58" s="23">
        <f t="shared" si="40"/>
        <v>422.43</v>
      </c>
      <c r="F58" s="1">
        <v>5.0</v>
      </c>
      <c r="G58" s="13" t="s">
        <v>22</v>
      </c>
      <c r="H58" s="32"/>
      <c r="I58" s="22" t="str">
        <f t="shared" si="41"/>
        <v>Crystal Crest Kayaks</v>
      </c>
      <c r="J58" s="18">
        <f t="shared" si="42"/>
        <v>728764</v>
      </c>
      <c r="L58" s="13" t="s">
        <v>29</v>
      </c>
      <c r="M58" s="21" t="str">
        <f t="shared" si="43"/>
        <v>Bluewater Kayaks</v>
      </c>
      <c r="N58" s="24">
        <f t="shared" si="44"/>
        <v>8382123</v>
      </c>
      <c r="O58" s="13" t="s">
        <v>22</v>
      </c>
      <c r="P58" s="22" t="str">
        <f t="shared" si="45"/>
        <v>Bluewater Kayaks</v>
      </c>
      <c r="Q58" s="24">
        <f t="shared" si="46"/>
        <v>595428</v>
      </c>
      <c r="S58" s="13" t="s">
        <v>24</v>
      </c>
      <c r="T58" s="21" t="str">
        <f t="shared" si="47"/>
        <v>Bluewater Kayaks</v>
      </c>
      <c r="U58" s="25">
        <f t="shared" si="48"/>
        <v>441</v>
      </c>
      <c r="V58" s="22">
        <f t="shared" si="51"/>
        <v>14</v>
      </c>
      <c r="X58" s="14" t="s">
        <v>26</v>
      </c>
      <c r="Y58" s="21" t="str">
        <f t="shared" si="49"/>
        <v>InSync Kayaks</v>
      </c>
      <c r="Z58" s="22">
        <f t="shared" si="50"/>
        <v>60</v>
      </c>
    </row>
    <row r="59">
      <c r="B59" s="3" t="s">
        <v>137</v>
      </c>
      <c r="C59" s="33">
        <v>431.22</v>
      </c>
      <c r="D59" s="22" t="str">
        <f t="shared" si="39"/>
        <v>Bluewater Kayaks</v>
      </c>
      <c r="E59" s="23">
        <f t="shared" si="40"/>
        <v>412.02</v>
      </c>
      <c r="F59" s="1">
        <v>6.0</v>
      </c>
      <c r="G59" s="6">
        <v>884369.0</v>
      </c>
      <c r="H59" s="32"/>
      <c r="I59" s="22" t="str">
        <f t="shared" si="41"/>
        <v>H2OExplorers</v>
      </c>
      <c r="J59" s="18">
        <f t="shared" si="42"/>
        <v>521914</v>
      </c>
      <c r="L59" s="6">
        <v>9875416.0</v>
      </c>
      <c r="M59" s="21" t="str">
        <f t="shared" si="43"/>
        <v>Ramm</v>
      </c>
      <c r="N59" s="24">
        <f t="shared" si="44"/>
        <v>7661379</v>
      </c>
      <c r="O59" s="6">
        <v>1033789.0</v>
      </c>
      <c r="P59" s="22" t="str">
        <f t="shared" si="45"/>
        <v>Ramm</v>
      </c>
      <c r="Q59" s="24">
        <f t="shared" si="46"/>
        <v>565587</v>
      </c>
      <c r="S59" s="13">
        <v>336.0</v>
      </c>
      <c r="T59" s="21" t="str">
        <f t="shared" si="47"/>
        <v>Under The Paddle</v>
      </c>
      <c r="U59" s="25">
        <f t="shared" si="48"/>
        <v>510</v>
      </c>
      <c r="V59" s="22">
        <f t="shared" si="51"/>
        <v>17</v>
      </c>
      <c r="X59" s="14">
        <v>66.0</v>
      </c>
      <c r="Y59" s="21" t="str">
        <f t="shared" si="49"/>
        <v>DraKayak</v>
      </c>
      <c r="Z59" s="22">
        <f t="shared" si="50"/>
        <v>58</v>
      </c>
    </row>
    <row r="60">
      <c r="B60" s="34" t="s">
        <v>91</v>
      </c>
      <c r="C60" s="13">
        <v>3.0</v>
      </c>
      <c r="D60" s="22" t="str">
        <f t="shared" si="39"/>
        <v>H2OExplorers</v>
      </c>
      <c r="E60" s="23">
        <f t="shared" si="40"/>
        <v>360.8</v>
      </c>
      <c r="F60" s="1">
        <v>7.0</v>
      </c>
      <c r="G60" s="13">
        <v>3.0</v>
      </c>
      <c r="H60" s="32"/>
      <c r="I60" s="22" t="str">
        <f t="shared" si="41"/>
        <v>ElevationKayaks</v>
      </c>
      <c r="J60" s="18">
        <f t="shared" si="42"/>
        <v>378049</v>
      </c>
      <c r="L60" s="13">
        <v>3.0</v>
      </c>
      <c r="M60" s="21" t="str">
        <f t="shared" si="43"/>
        <v>Crystal Crest Kayaks</v>
      </c>
      <c r="N60" s="24">
        <f t="shared" si="44"/>
        <v>7521663</v>
      </c>
      <c r="O60" s="13">
        <v>3.0</v>
      </c>
      <c r="P60" s="22" t="str">
        <f t="shared" si="45"/>
        <v>ElevationKayaks</v>
      </c>
      <c r="Q60" s="24">
        <f t="shared" si="46"/>
        <v>509935</v>
      </c>
      <c r="S60" s="13">
        <v>3.0</v>
      </c>
      <c r="T60" s="21" t="str">
        <f t="shared" si="47"/>
        <v>DraKayak</v>
      </c>
      <c r="U60" s="25">
        <f t="shared" si="48"/>
        <v>573</v>
      </c>
      <c r="V60" s="22">
        <f t="shared" si="51"/>
        <v>20</v>
      </c>
      <c r="X60" s="13">
        <v>3.0</v>
      </c>
      <c r="Y60" s="21" t="str">
        <f t="shared" si="49"/>
        <v>Under The Paddle</v>
      </c>
      <c r="Z60" s="22">
        <f t="shared" si="50"/>
        <v>55</v>
      </c>
    </row>
    <row r="61">
      <c r="B61" s="3" t="s">
        <v>134</v>
      </c>
      <c r="C61" s="13" t="s">
        <v>25</v>
      </c>
      <c r="D61" s="22" t="str">
        <f t="shared" si="39"/>
        <v>ElevationKayaks</v>
      </c>
      <c r="E61" s="23">
        <f t="shared" si="40"/>
        <v>347.79</v>
      </c>
      <c r="F61" s="1">
        <v>8.0</v>
      </c>
      <c r="G61" s="13" t="s">
        <v>29</v>
      </c>
      <c r="H61" s="32"/>
      <c r="I61" s="22" t="str">
        <f t="shared" si="41"/>
        <v>Freeflow Kayaks</v>
      </c>
      <c r="J61" s="18">
        <f t="shared" si="42"/>
        <v>262068</v>
      </c>
      <c r="L61" s="13" t="s">
        <v>22</v>
      </c>
      <c r="M61" s="21" t="str">
        <f t="shared" si="43"/>
        <v>H2OExplorers</v>
      </c>
      <c r="N61" s="24">
        <f t="shared" si="44"/>
        <v>6808930</v>
      </c>
      <c r="O61" s="13" t="s">
        <v>25</v>
      </c>
      <c r="P61" s="22" t="str">
        <f t="shared" si="45"/>
        <v>AquaFloat</v>
      </c>
      <c r="Q61" s="24">
        <f t="shared" si="46"/>
        <v>434865</v>
      </c>
      <c r="S61" s="13" t="s">
        <v>30</v>
      </c>
      <c r="T61" s="21" t="str">
        <f t="shared" si="47"/>
        <v>InSync Kayaks</v>
      </c>
      <c r="U61" s="25">
        <f t="shared" si="48"/>
        <v>1304</v>
      </c>
      <c r="V61" s="22">
        <f t="shared" si="51"/>
        <v>23</v>
      </c>
      <c r="X61" s="13" t="s">
        <v>16</v>
      </c>
      <c r="Y61" s="21" t="str">
        <f t="shared" si="49"/>
        <v>Jaws Kayak</v>
      </c>
      <c r="Z61" s="22">
        <f t="shared" si="50"/>
        <v>54</v>
      </c>
    </row>
    <row r="62">
      <c r="B62" s="2" t="s">
        <v>30</v>
      </c>
      <c r="C62" s="33">
        <v>430.19</v>
      </c>
      <c r="D62" s="22" t="str">
        <f t="shared" si="39"/>
        <v>AquaFloat</v>
      </c>
      <c r="E62" s="23">
        <f t="shared" si="40"/>
        <v>345.87</v>
      </c>
      <c r="F62" s="1">
        <v>9.0</v>
      </c>
      <c r="G62" s="6">
        <v>846367.0</v>
      </c>
      <c r="H62" s="32"/>
      <c r="I62" s="22" t="str">
        <f t="shared" si="41"/>
        <v>Sea Splash Kayaks</v>
      </c>
      <c r="J62" s="18">
        <f t="shared" si="42"/>
        <v>246619</v>
      </c>
      <c r="L62" s="6">
        <v>8551520.0</v>
      </c>
      <c r="M62" s="21" t="str">
        <f t="shared" si="43"/>
        <v>Nordiks</v>
      </c>
      <c r="N62" s="24">
        <f t="shared" si="44"/>
        <v>6496104</v>
      </c>
      <c r="O62" s="6">
        <v>952841.0</v>
      </c>
      <c r="P62" s="22" t="str">
        <f t="shared" si="45"/>
        <v>H2OExplorers</v>
      </c>
      <c r="Q62" s="24">
        <f t="shared" si="46"/>
        <v>411710</v>
      </c>
      <c r="S62" s="13">
        <v>364.0</v>
      </c>
      <c r="T62" s="21" t="str">
        <f t="shared" si="47"/>
        <v>H2OExplorers</v>
      </c>
      <c r="U62" s="25">
        <f t="shared" si="48"/>
        <v>1335</v>
      </c>
      <c r="V62" s="22">
        <f t="shared" si="51"/>
        <v>26</v>
      </c>
      <c r="X62" s="13">
        <v>64.0</v>
      </c>
      <c r="Y62" s="21" t="str">
        <f t="shared" si="49"/>
        <v>Freeflow Kayaks</v>
      </c>
      <c r="Z62" s="22">
        <f t="shared" si="50"/>
        <v>53</v>
      </c>
    </row>
    <row r="63">
      <c r="B63" s="31" t="s">
        <v>319</v>
      </c>
      <c r="C63" s="13">
        <v>4.0</v>
      </c>
      <c r="D63" s="22" t="str">
        <f t="shared" si="39"/>
        <v>Freeflow Kayaks</v>
      </c>
      <c r="E63" s="23">
        <f t="shared" si="40"/>
        <v>299.92</v>
      </c>
      <c r="F63" s="1">
        <v>10.0</v>
      </c>
      <c r="G63" s="14">
        <v>4.0</v>
      </c>
      <c r="H63" s="32"/>
      <c r="I63" s="22" t="str">
        <f t="shared" si="41"/>
        <v>Ramm</v>
      </c>
      <c r="J63" s="18">
        <f t="shared" si="42"/>
        <v>219250</v>
      </c>
      <c r="L63" s="13">
        <v>4.0</v>
      </c>
      <c r="M63" s="21" t="str">
        <f t="shared" si="43"/>
        <v>MarineX</v>
      </c>
      <c r="N63" s="24">
        <f t="shared" si="44"/>
        <v>6480650</v>
      </c>
      <c r="O63" s="13">
        <v>4.0</v>
      </c>
      <c r="P63" s="22" t="str">
        <f t="shared" si="45"/>
        <v>Freeflow Kayaks</v>
      </c>
      <c r="Q63" s="24">
        <f t="shared" si="46"/>
        <v>407675</v>
      </c>
      <c r="S63" s="13">
        <v>4.0</v>
      </c>
      <c r="T63" s="21" t="str">
        <f t="shared" si="47"/>
        <v>Sea Splash Kayaks</v>
      </c>
      <c r="U63" s="25">
        <f t="shared" si="48"/>
        <v>1903</v>
      </c>
      <c r="V63" s="22">
        <f t="shared" si="51"/>
        <v>29</v>
      </c>
      <c r="X63" s="13">
        <v>4.0</v>
      </c>
      <c r="Y63" s="21" t="str">
        <f t="shared" si="49"/>
        <v>Great Lakes Kayak Co</v>
      </c>
      <c r="Z63" s="22">
        <f t="shared" si="50"/>
        <v>52</v>
      </c>
    </row>
    <row r="64">
      <c r="B64" s="2" t="s">
        <v>130</v>
      </c>
      <c r="C64" s="13" t="s">
        <v>22</v>
      </c>
      <c r="D64" s="22" t="str">
        <f t="shared" si="39"/>
        <v>Jaws Kayak</v>
      </c>
      <c r="E64" s="23">
        <f t="shared" si="40"/>
        <v>226.28</v>
      </c>
      <c r="F64" s="1">
        <v>11.0</v>
      </c>
      <c r="G64" s="14" t="s">
        <v>26</v>
      </c>
      <c r="H64" s="32"/>
      <c r="I64" s="22" t="str">
        <f t="shared" si="41"/>
        <v>Jaws Kayak</v>
      </c>
      <c r="J64" s="18">
        <f t="shared" si="42"/>
        <v>196506</v>
      </c>
      <c r="L64" s="13" t="s">
        <v>16</v>
      </c>
      <c r="M64" s="21" t="str">
        <f t="shared" si="43"/>
        <v>Jaws Kayak</v>
      </c>
      <c r="N64" s="24">
        <f t="shared" si="44"/>
        <v>6202694</v>
      </c>
      <c r="O64" s="13" t="s">
        <v>12</v>
      </c>
      <c r="P64" s="22" t="str">
        <f t="shared" si="45"/>
        <v>Sea Splash Kayaks</v>
      </c>
      <c r="Q64" s="24">
        <f t="shared" si="46"/>
        <v>201052</v>
      </c>
      <c r="S64" s="13" t="s">
        <v>23</v>
      </c>
      <c r="T64" s="21" t="str">
        <f t="shared" si="47"/>
        <v>Crystal Crest Kayaks</v>
      </c>
      <c r="U64" s="25">
        <f t="shared" si="48"/>
        <v>2255</v>
      </c>
      <c r="V64" s="22">
        <f t="shared" si="51"/>
        <v>32</v>
      </c>
      <c r="X64" s="13" t="s">
        <v>12</v>
      </c>
      <c r="Y64" s="21" t="str">
        <f t="shared" si="49"/>
        <v>MarineX</v>
      </c>
      <c r="Z64" s="22">
        <f t="shared" si="50"/>
        <v>52</v>
      </c>
    </row>
    <row r="65">
      <c r="B65" s="3" t="s">
        <v>13</v>
      </c>
      <c r="C65" s="33">
        <v>426.73</v>
      </c>
      <c r="D65" s="22" t="str">
        <f t="shared" si="39"/>
        <v>Sea Splash Kayaks</v>
      </c>
      <c r="E65" s="23">
        <f t="shared" si="40"/>
        <v>190.66</v>
      </c>
      <c r="F65" s="1">
        <v>12.0</v>
      </c>
      <c r="G65" s="11">
        <v>826634.0</v>
      </c>
      <c r="H65" s="32"/>
      <c r="I65" s="22" t="str">
        <f t="shared" si="41"/>
        <v>MarineX</v>
      </c>
      <c r="J65" s="25">
        <f t="shared" si="42"/>
        <v>127354</v>
      </c>
      <c r="L65" s="6">
        <v>8422978.0</v>
      </c>
      <c r="M65" s="21" t="str">
        <f t="shared" si="43"/>
        <v>ElevationKayaks</v>
      </c>
      <c r="N65" s="35">
        <f t="shared" si="44"/>
        <v>5558248</v>
      </c>
      <c r="O65" s="6">
        <v>839298.0</v>
      </c>
      <c r="P65" s="22" t="str">
        <f t="shared" si="45"/>
        <v>MarineX</v>
      </c>
      <c r="Q65" s="24">
        <f t="shared" si="46"/>
        <v>170174</v>
      </c>
      <c r="S65" s="13">
        <v>436.0</v>
      </c>
      <c r="T65" s="21" t="str">
        <f t="shared" si="47"/>
        <v>Great Lakes Kayak Co</v>
      </c>
      <c r="U65" s="25">
        <f t="shared" si="48"/>
        <v>3305</v>
      </c>
      <c r="V65" s="22">
        <f t="shared" si="51"/>
        <v>35</v>
      </c>
      <c r="X65" s="13">
        <v>64.0</v>
      </c>
      <c r="Y65" s="21" t="str">
        <f t="shared" si="49"/>
        <v>Nordiks</v>
      </c>
      <c r="Z65" s="22">
        <f t="shared" si="50"/>
        <v>50</v>
      </c>
    </row>
    <row r="66">
      <c r="B66" s="34" t="s">
        <v>38</v>
      </c>
      <c r="C66" s="13">
        <v>5.0</v>
      </c>
      <c r="D66" s="22" t="str">
        <f t="shared" si="39"/>
        <v>MarineX</v>
      </c>
      <c r="E66" s="23">
        <f t="shared" si="40"/>
        <v>172.45</v>
      </c>
      <c r="F66" s="1">
        <v>13.0</v>
      </c>
      <c r="G66" s="13">
        <v>5.0</v>
      </c>
      <c r="H66" s="32"/>
      <c r="I66" s="22" t="str">
        <f t="shared" si="41"/>
        <v>Nordiks</v>
      </c>
      <c r="J66" s="25">
        <f t="shared" si="42"/>
        <v>4759</v>
      </c>
      <c r="L66" s="14">
        <v>5.0</v>
      </c>
      <c r="M66" s="21" t="str">
        <f t="shared" si="43"/>
        <v>Freeflow Kayaks</v>
      </c>
      <c r="N66" s="35">
        <f t="shared" si="44"/>
        <v>5469581</v>
      </c>
      <c r="O66" s="14">
        <v>5.0</v>
      </c>
      <c r="P66" s="22" t="str">
        <f t="shared" si="45"/>
        <v>Jaws Kayak</v>
      </c>
      <c r="Q66" s="24">
        <f t="shared" si="46"/>
        <v>91621</v>
      </c>
      <c r="S66" s="14">
        <v>5.0</v>
      </c>
      <c r="T66" s="21" t="str">
        <f t="shared" si="47"/>
        <v>Jaws Kayak</v>
      </c>
      <c r="U66" s="25">
        <f t="shared" si="48"/>
        <v>3310</v>
      </c>
      <c r="V66" s="22">
        <f t="shared" si="51"/>
        <v>38</v>
      </c>
      <c r="X66" s="13">
        <v>5.0</v>
      </c>
      <c r="Y66" s="21" t="str">
        <f t="shared" si="49"/>
        <v>H2OExplorers</v>
      </c>
      <c r="Z66" s="22">
        <f t="shared" si="50"/>
        <v>49</v>
      </c>
    </row>
    <row r="67">
      <c r="B67" s="3" t="s">
        <v>38</v>
      </c>
      <c r="C67" s="13" t="s">
        <v>12</v>
      </c>
      <c r="D67" s="22" t="str">
        <f t="shared" si="39"/>
        <v>InSync Kayaks</v>
      </c>
      <c r="E67" s="23">
        <f t="shared" si="40"/>
        <v>77.01</v>
      </c>
      <c r="F67" s="1">
        <v>14.0</v>
      </c>
      <c r="G67" s="13" t="s">
        <v>12</v>
      </c>
      <c r="H67" s="32"/>
      <c r="I67" s="22" t="str">
        <f t="shared" si="41"/>
        <v>InSync Kayaks</v>
      </c>
      <c r="J67" s="25">
        <f t="shared" si="42"/>
        <v>-222774</v>
      </c>
      <c r="L67" s="14" t="s">
        <v>26</v>
      </c>
      <c r="M67" s="21" t="str">
        <f t="shared" si="43"/>
        <v>InSync Kayaks</v>
      </c>
      <c r="N67" s="35">
        <f t="shared" si="44"/>
        <v>3752982</v>
      </c>
      <c r="O67" s="14" t="s">
        <v>26</v>
      </c>
      <c r="P67" s="22" t="str">
        <f t="shared" si="45"/>
        <v>InSync Kayaks</v>
      </c>
      <c r="Q67" s="24">
        <f t="shared" si="46"/>
        <v>-217310</v>
      </c>
      <c r="S67" s="14" t="s">
        <v>26</v>
      </c>
      <c r="T67" s="21" t="str">
        <f t="shared" si="47"/>
        <v>Nordiks</v>
      </c>
      <c r="U67" s="25">
        <f t="shared" si="48"/>
        <v>3989</v>
      </c>
      <c r="V67" s="22">
        <f t="shared" si="51"/>
        <v>41</v>
      </c>
      <c r="X67" s="13" t="s">
        <v>32</v>
      </c>
      <c r="Y67" s="21" t="str">
        <f t="shared" si="49"/>
        <v>AquaFloat</v>
      </c>
      <c r="Z67" s="22">
        <f t="shared" si="50"/>
        <v>46</v>
      </c>
    </row>
    <row r="68">
      <c r="B68" s="3" t="s">
        <v>136</v>
      </c>
      <c r="C68" s="33">
        <v>422.43</v>
      </c>
      <c r="D68" s="22" t="str">
        <f t="shared" si="39"/>
        <v>Nordiks</v>
      </c>
      <c r="E68" s="23">
        <f t="shared" si="40"/>
        <v>75.15</v>
      </c>
      <c r="F68" s="1">
        <v>15.0</v>
      </c>
      <c r="G68" s="6">
        <v>728764.0</v>
      </c>
      <c r="H68" s="32"/>
      <c r="I68" s="22" t="str">
        <f t="shared" si="41"/>
        <v>AquaFloat</v>
      </c>
      <c r="J68" s="25">
        <f t="shared" si="42"/>
        <v>-340948</v>
      </c>
      <c r="L68" s="11">
        <v>8382123.0</v>
      </c>
      <c r="M68" s="21" t="str">
        <f t="shared" si="43"/>
        <v>AquaFloat</v>
      </c>
      <c r="N68" s="35">
        <f t="shared" si="44"/>
        <v>1395314</v>
      </c>
      <c r="O68" s="11">
        <v>595428.0</v>
      </c>
      <c r="P68" s="22" t="str">
        <f t="shared" si="45"/>
        <v>Nordiks</v>
      </c>
      <c r="Q68" s="24">
        <f t="shared" si="46"/>
        <v>-510415</v>
      </c>
      <c r="S68" s="36">
        <v>441.0</v>
      </c>
      <c r="T68" s="21" t="str">
        <f t="shared" si="47"/>
        <v>AquaFloat</v>
      </c>
      <c r="U68" s="25">
        <f t="shared" si="48"/>
        <v>8912</v>
      </c>
      <c r="V68" s="22">
        <f t="shared" si="51"/>
        <v>44</v>
      </c>
      <c r="X68" s="13">
        <v>60.0</v>
      </c>
      <c r="Y68" s="21" t="str">
        <f t="shared" si="49"/>
        <v>ElevationKayaks</v>
      </c>
      <c r="Z68" s="22">
        <f t="shared" si="50"/>
        <v>40</v>
      </c>
    </row>
    <row r="69">
      <c r="B69" s="34" t="s">
        <v>137</v>
      </c>
      <c r="C69" s="14">
        <v>6.0</v>
      </c>
      <c r="E69" s="21"/>
      <c r="G69" s="13">
        <v>6.0</v>
      </c>
      <c r="L69" s="13">
        <v>6.0</v>
      </c>
      <c r="M69" s="21"/>
      <c r="O69" s="13">
        <v>6.0</v>
      </c>
      <c r="S69" s="13">
        <v>6.0</v>
      </c>
      <c r="T69" s="21"/>
      <c r="V69" s="22">
        <f t="shared" si="51"/>
        <v>47</v>
      </c>
      <c r="X69" s="13">
        <v>6.0</v>
      </c>
      <c r="Y69" s="21"/>
    </row>
    <row r="70">
      <c r="B70" s="3" t="s">
        <v>320</v>
      </c>
      <c r="C70" s="14" t="s">
        <v>26</v>
      </c>
      <c r="E70" s="21"/>
      <c r="G70" s="13" t="s">
        <v>20</v>
      </c>
      <c r="L70" s="13" t="s">
        <v>23</v>
      </c>
      <c r="M70" s="21"/>
      <c r="O70" s="13" t="s">
        <v>23</v>
      </c>
      <c r="S70" s="13" t="s">
        <v>22</v>
      </c>
      <c r="T70" s="21"/>
      <c r="V70" s="22">
        <f t="shared" si="51"/>
        <v>50</v>
      </c>
      <c r="X70" s="13" t="s">
        <v>29</v>
      </c>
    </row>
    <row r="71">
      <c r="B71" s="3" t="s">
        <v>321</v>
      </c>
      <c r="C71" s="37">
        <v>412.02</v>
      </c>
      <c r="E71" s="21"/>
      <c r="G71" s="6">
        <v>521914.0</v>
      </c>
      <c r="L71" s="6">
        <v>7661379.0</v>
      </c>
      <c r="M71" s="21"/>
      <c r="O71" s="6">
        <v>565587.0</v>
      </c>
      <c r="S71" s="38">
        <v>510.0</v>
      </c>
      <c r="V71" s="22">
        <f t="shared" si="51"/>
        <v>53</v>
      </c>
      <c r="X71" s="13">
        <v>58.0</v>
      </c>
    </row>
    <row r="72">
      <c r="B72" s="31" t="s">
        <v>33</v>
      </c>
      <c r="C72" s="13">
        <v>7.0</v>
      </c>
      <c r="E72" s="21"/>
      <c r="G72" s="13">
        <v>7.0</v>
      </c>
      <c r="L72" s="13">
        <v>7.0</v>
      </c>
      <c r="M72" s="21"/>
      <c r="O72" s="13">
        <v>7.0</v>
      </c>
      <c r="S72" s="13">
        <v>7.0</v>
      </c>
      <c r="V72" s="22">
        <f t="shared" si="51"/>
        <v>56</v>
      </c>
      <c r="X72" s="13">
        <v>7.0</v>
      </c>
    </row>
    <row r="73">
      <c r="B73" s="2" t="s">
        <v>322</v>
      </c>
      <c r="C73" s="13" t="s">
        <v>20</v>
      </c>
      <c r="E73" s="21"/>
      <c r="G73" s="13" t="s">
        <v>27</v>
      </c>
      <c r="L73" s="13" t="s">
        <v>12</v>
      </c>
      <c r="M73" s="21"/>
      <c r="O73" s="13" t="s">
        <v>27</v>
      </c>
      <c r="S73" s="13" t="s">
        <v>29</v>
      </c>
      <c r="V73" s="22">
        <f t="shared" si="51"/>
        <v>59</v>
      </c>
      <c r="X73" s="13" t="s">
        <v>22</v>
      </c>
    </row>
    <row r="74">
      <c r="B74" s="2" t="s">
        <v>115</v>
      </c>
      <c r="C74" s="33">
        <v>360.8</v>
      </c>
      <c r="E74" s="21"/>
      <c r="G74" s="6">
        <v>378049.0</v>
      </c>
      <c r="L74" s="6">
        <v>7521663.0</v>
      </c>
      <c r="M74" s="21"/>
      <c r="O74" s="6">
        <v>509935.0</v>
      </c>
      <c r="S74" s="38">
        <v>573.0</v>
      </c>
      <c r="V74" s="22">
        <f t="shared" si="51"/>
        <v>62</v>
      </c>
      <c r="X74" s="13">
        <v>55.0</v>
      </c>
    </row>
    <row r="75">
      <c r="B75" s="34" t="s">
        <v>13</v>
      </c>
      <c r="C75" s="13">
        <v>8.0</v>
      </c>
      <c r="E75" s="21"/>
      <c r="G75" s="13">
        <v>8.0</v>
      </c>
      <c r="L75" s="13">
        <v>8.0</v>
      </c>
      <c r="M75" s="21"/>
      <c r="O75" s="13">
        <v>8.0</v>
      </c>
      <c r="S75" s="13">
        <v>8.0</v>
      </c>
      <c r="V75" s="22">
        <f t="shared" si="51"/>
        <v>65</v>
      </c>
      <c r="X75" s="13">
        <v>8.0</v>
      </c>
    </row>
    <row r="76">
      <c r="B76" s="3" t="s">
        <v>38</v>
      </c>
      <c r="C76" s="13" t="s">
        <v>27</v>
      </c>
      <c r="E76" s="21"/>
      <c r="G76" s="13" t="s">
        <v>24</v>
      </c>
      <c r="L76" s="13" t="s">
        <v>20</v>
      </c>
      <c r="M76" s="21"/>
      <c r="O76" s="13" t="s">
        <v>33</v>
      </c>
      <c r="S76" s="13" t="s">
        <v>32</v>
      </c>
      <c r="V76" s="22">
        <f t="shared" si="51"/>
        <v>68</v>
      </c>
      <c r="X76" s="13" t="s">
        <v>31</v>
      </c>
    </row>
    <row r="77">
      <c r="B77" s="3" t="s">
        <v>38</v>
      </c>
      <c r="C77" s="33">
        <v>347.79</v>
      </c>
      <c r="E77" s="21"/>
      <c r="G77" s="6">
        <v>262068.0</v>
      </c>
      <c r="L77" s="6">
        <v>6808930.0</v>
      </c>
      <c r="M77" s="21"/>
      <c r="O77" s="6">
        <v>434865.0</v>
      </c>
      <c r="S77" s="38">
        <v>1304.0</v>
      </c>
      <c r="V77" s="22">
        <f t="shared" si="51"/>
        <v>71</v>
      </c>
      <c r="X77" s="13">
        <v>54.0</v>
      </c>
    </row>
    <row r="78">
      <c r="B78" s="34" t="s">
        <v>136</v>
      </c>
      <c r="C78" s="13">
        <v>9.0</v>
      </c>
      <c r="E78" s="21"/>
      <c r="G78" s="13">
        <v>9.0</v>
      </c>
      <c r="L78" s="13">
        <v>9.0</v>
      </c>
      <c r="M78" s="21"/>
      <c r="O78" s="13">
        <v>9.0</v>
      </c>
      <c r="S78" s="13">
        <v>9.0</v>
      </c>
      <c r="V78" s="22">
        <f t="shared" si="51"/>
        <v>74</v>
      </c>
      <c r="X78" s="13">
        <v>9.0</v>
      </c>
    </row>
    <row r="79">
      <c r="B79" s="3" t="s">
        <v>15</v>
      </c>
      <c r="C79" s="13" t="s">
        <v>33</v>
      </c>
      <c r="E79" s="21"/>
      <c r="G79" s="13" t="s">
        <v>16</v>
      </c>
      <c r="L79" s="13" t="s">
        <v>28</v>
      </c>
      <c r="M79" s="21"/>
      <c r="O79" s="13" t="s">
        <v>20</v>
      </c>
      <c r="S79" s="13" t="s">
        <v>20</v>
      </c>
      <c r="V79" s="22">
        <f t="shared" si="51"/>
        <v>77</v>
      </c>
      <c r="X79" s="13" t="s">
        <v>24</v>
      </c>
    </row>
    <row r="80">
      <c r="B80" s="3" t="s">
        <v>323</v>
      </c>
      <c r="C80" s="33">
        <v>345.87</v>
      </c>
      <c r="E80" s="21"/>
      <c r="G80" s="6">
        <v>246619.0</v>
      </c>
      <c r="L80" s="6">
        <v>6496104.0</v>
      </c>
      <c r="M80" s="21"/>
      <c r="O80" s="6">
        <v>411710.0</v>
      </c>
      <c r="S80" s="38">
        <v>1335.0</v>
      </c>
      <c r="V80" s="22">
        <f t="shared" si="51"/>
        <v>80</v>
      </c>
      <c r="X80" s="13">
        <v>53.0</v>
      </c>
    </row>
    <row r="81">
      <c r="B81" s="34" t="s">
        <v>324</v>
      </c>
      <c r="C81" s="13">
        <v>10.0</v>
      </c>
      <c r="E81" s="21"/>
      <c r="G81" s="13">
        <v>10.0</v>
      </c>
      <c r="L81" s="13">
        <v>10.0</v>
      </c>
      <c r="M81" s="21"/>
      <c r="O81" s="13">
        <v>10.0</v>
      </c>
      <c r="S81" s="13">
        <v>10.0</v>
      </c>
      <c r="V81" s="22">
        <f t="shared" si="51"/>
        <v>83</v>
      </c>
      <c r="X81" s="13">
        <v>10.0</v>
      </c>
    </row>
    <row r="82">
      <c r="B82" s="2" t="s">
        <v>33</v>
      </c>
      <c r="C82" s="13" t="s">
        <v>24</v>
      </c>
      <c r="E82" s="21"/>
      <c r="G82" s="13" t="s">
        <v>23</v>
      </c>
      <c r="L82" s="13" t="s">
        <v>30</v>
      </c>
      <c r="M82" s="21"/>
      <c r="O82" s="13" t="s">
        <v>24</v>
      </c>
      <c r="S82" s="13" t="s">
        <v>16</v>
      </c>
      <c r="V82" s="22">
        <f t="shared" si="51"/>
        <v>86</v>
      </c>
      <c r="X82" s="13" t="s">
        <v>25</v>
      </c>
    </row>
    <row r="83">
      <c r="B83" s="2" t="s">
        <v>325</v>
      </c>
      <c r="C83" s="33">
        <v>299.92</v>
      </c>
      <c r="E83" s="21"/>
      <c r="G83" s="6">
        <v>219250.0</v>
      </c>
      <c r="L83" s="6">
        <v>6480650.0</v>
      </c>
      <c r="M83" s="21"/>
      <c r="O83" s="6">
        <v>407675.0</v>
      </c>
      <c r="S83" s="38">
        <v>1903.0</v>
      </c>
      <c r="V83" s="22">
        <f t="shared" si="51"/>
        <v>89</v>
      </c>
      <c r="X83" s="13">
        <v>52.0</v>
      </c>
    </row>
    <row r="84">
      <c r="B84" s="31" t="s">
        <v>130</v>
      </c>
      <c r="C84" s="13">
        <v>11.0</v>
      </c>
      <c r="E84" s="21"/>
      <c r="G84" s="13">
        <v>11.0</v>
      </c>
      <c r="L84" s="13">
        <v>11.0</v>
      </c>
      <c r="M84" s="21"/>
      <c r="O84" s="13">
        <v>11.0</v>
      </c>
      <c r="S84" s="13">
        <v>11.0</v>
      </c>
      <c r="V84" s="22">
        <f t="shared" si="51"/>
        <v>92</v>
      </c>
      <c r="X84" s="13">
        <v>11.0</v>
      </c>
    </row>
    <row r="85">
      <c r="B85" s="3" t="s">
        <v>13</v>
      </c>
      <c r="C85" s="13" t="s">
        <v>31</v>
      </c>
      <c r="E85" s="21"/>
      <c r="G85" s="13" t="s">
        <v>31</v>
      </c>
      <c r="L85" s="13" t="s">
        <v>31</v>
      </c>
      <c r="M85" s="21"/>
      <c r="O85" s="13" t="s">
        <v>16</v>
      </c>
      <c r="S85" s="13" t="s">
        <v>12</v>
      </c>
      <c r="V85" s="22">
        <f t="shared" si="51"/>
        <v>95</v>
      </c>
      <c r="X85" s="13" t="s">
        <v>30</v>
      </c>
    </row>
    <row r="86">
      <c r="B86" s="3" t="s">
        <v>38</v>
      </c>
      <c r="C86" s="33">
        <v>226.28</v>
      </c>
      <c r="E86" s="21"/>
      <c r="G86" s="6">
        <v>196506.0</v>
      </c>
      <c r="L86" s="6">
        <v>6202694.0</v>
      </c>
      <c r="M86" s="21"/>
      <c r="O86" s="6">
        <v>201052.0</v>
      </c>
      <c r="S86" s="38">
        <v>2255.0</v>
      </c>
      <c r="V86" s="22">
        <f t="shared" si="51"/>
        <v>98</v>
      </c>
      <c r="X86" s="13">
        <v>52.0</v>
      </c>
    </row>
    <row r="87">
      <c r="B87" s="34" t="s">
        <v>38</v>
      </c>
      <c r="C87" s="13">
        <v>12.0</v>
      </c>
      <c r="E87" s="21"/>
      <c r="G87" s="13">
        <v>12.0</v>
      </c>
      <c r="L87" s="13">
        <v>12.0</v>
      </c>
      <c r="M87" s="21"/>
      <c r="O87" s="13">
        <v>12.0</v>
      </c>
      <c r="S87" s="13">
        <v>12.0</v>
      </c>
      <c r="V87" s="22">
        <f t="shared" si="51"/>
        <v>101</v>
      </c>
      <c r="X87" s="13">
        <v>12.0</v>
      </c>
    </row>
    <row r="88">
      <c r="B88" s="3" t="s">
        <v>136</v>
      </c>
      <c r="C88" s="13" t="s">
        <v>16</v>
      </c>
      <c r="E88" s="21"/>
      <c r="G88" s="13" t="s">
        <v>30</v>
      </c>
      <c r="L88" s="13" t="s">
        <v>27</v>
      </c>
      <c r="M88" s="21"/>
      <c r="O88" s="13" t="s">
        <v>30</v>
      </c>
      <c r="S88" s="13" t="s">
        <v>25</v>
      </c>
      <c r="V88" s="22">
        <f t="shared" si="51"/>
        <v>104</v>
      </c>
      <c r="X88" s="13" t="s">
        <v>28</v>
      </c>
    </row>
    <row r="89">
      <c r="B89" s="3" t="s">
        <v>137</v>
      </c>
      <c r="C89" s="33">
        <v>190.66</v>
      </c>
      <c r="E89" s="21"/>
      <c r="G89" s="38">
        <v>127354.0</v>
      </c>
      <c r="L89" s="38">
        <v>5558248.0</v>
      </c>
      <c r="M89" s="21"/>
      <c r="O89" s="6">
        <v>170174.0</v>
      </c>
      <c r="S89" s="38">
        <v>3305.0</v>
      </c>
      <c r="V89" s="22">
        <f t="shared" si="51"/>
        <v>107</v>
      </c>
      <c r="X89" s="13">
        <v>50.0</v>
      </c>
    </row>
    <row r="90">
      <c r="B90" s="34" t="s">
        <v>323</v>
      </c>
      <c r="C90" s="13">
        <v>13.0</v>
      </c>
      <c r="E90" s="21"/>
      <c r="G90" s="13">
        <v>13.0</v>
      </c>
      <c r="L90" s="13">
        <v>13.0</v>
      </c>
      <c r="M90" s="21"/>
      <c r="O90" s="13">
        <v>13.0</v>
      </c>
      <c r="S90" s="13">
        <v>13.0</v>
      </c>
      <c r="V90" s="22">
        <f t="shared" si="51"/>
        <v>110</v>
      </c>
      <c r="X90" s="13">
        <v>13.0</v>
      </c>
    </row>
    <row r="91">
      <c r="B91" s="3" t="s">
        <v>157</v>
      </c>
      <c r="C91" s="13" t="s">
        <v>30</v>
      </c>
      <c r="E91" s="21"/>
      <c r="G91" s="13" t="s">
        <v>28</v>
      </c>
      <c r="L91" s="13" t="s">
        <v>24</v>
      </c>
      <c r="M91" s="21"/>
      <c r="O91" s="13" t="s">
        <v>31</v>
      </c>
      <c r="S91" s="13" t="s">
        <v>31</v>
      </c>
      <c r="V91" s="22">
        <f t="shared" si="51"/>
        <v>113</v>
      </c>
      <c r="X91" s="13" t="s">
        <v>20</v>
      </c>
    </row>
    <row r="92">
      <c r="B92" s="2" t="s">
        <v>16</v>
      </c>
      <c r="C92" s="33">
        <v>172.45</v>
      </c>
      <c r="E92" s="21"/>
      <c r="G92" s="38">
        <v>4759.0</v>
      </c>
      <c r="L92" s="38">
        <v>5469581.0</v>
      </c>
      <c r="M92" s="21"/>
      <c r="O92" s="6">
        <v>91621.0</v>
      </c>
      <c r="S92" s="38">
        <v>3310.0</v>
      </c>
      <c r="V92" s="22">
        <f t="shared" si="51"/>
        <v>116</v>
      </c>
      <c r="X92" s="13">
        <v>49.0</v>
      </c>
    </row>
    <row r="93">
      <c r="B93" s="31" t="s">
        <v>326</v>
      </c>
      <c r="C93" s="13">
        <v>14.0</v>
      </c>
      <c r="E93" s="21"/>
      <c r="G93" s="13">
        <v>14.0</v>
      </c>
      <c r="L93" s="13">
        <v>14.0</v>
      </c>
      <c r="M93" s="21"/>
      <c r="O93" s="13">
        <v>14.0</v>
      </c>
      <c r="S93" s="13">
        <v>14.0</v>
      </c>
      <c r="V93" s="22">
        <f t="shared" si="51"/>
        <v>119</v>
      </c>
      <c r="X93" s="13">
        <v>14.0</v>
      </c>
    </row>
    <row r="94">
      <c r="B94" s="2" t="s">
        <v>115</v>
      </c>
      <c r="C94" s="13" t="s">
        <v>32</v>
      </c>
      <c r="E94" s="21"/>
      <c r="G94" s="13" t="s">
        <v>32</v>
      </c>
      <c r="L94" s="13" t="s">
        <v>32</v>
      </c>
      <c r="M94" s="21"/>
      <c r="O94" s="13" t="s">
        <v>32</v>
      </c>
      <c r="S94" s="13" t="s">
        <v>28</v>
      </c>
      <c r="V94" s="22">
        <f t="shared" si="51"/>
        <v>122</v>
      </c>
      <c r="X94" s="13" t="s">
        <v>33</v>
      </c>
    </row>
    <row r="95">
      <c r="B95" s="3" t="s">
        <v>17</v>
      </c>
      <c r="C95" s="33">
        <v>77.01</v>
      </c>
      <c r="E95" s="21"/>
      <c r="G95" s="38">
        <v>-222774.0</v>
      </c>
      <c r="L95" s="38">
        <v>3752982.0</v>
      </c>
      <c r="M95" s="21"/>
      <c r="O95" s="6">
        <v>-217310.0</v>
      </c>
      <c r="S95" s="38">
        <v>3989.0</v>
      </c>
      <c r="V95" s="22">
        <f t="shared" si="51"/>
        <v>125</v>
      </c>
      <c r="X95" s="13">
        <v>46.0</v>
      </c>
    </row>
    <row r="96">
      <c r="B96" s="34" t="s">
        <v>38</v>
      </c>
      <c r="C96" s="13">
        <v>15.0</v>
      </c>
      <c r="E96" s="21"/>
      <c r="G96" s="13">
        <v>15.0</v>
      </c>
      <c r="L96" s="13">
        <v>15.0</v>
      </c>
      <c r="M96" s="21"/>
      <c r="O96" s="13">
        <v>15.0</v>
      </c>
      <c r="S96" s="13">
        <v>15.0</v>
      </c>
      <c r="V96" s="22">
        <f t="shared" si="51"/>
        <v>128</v>
      </c>
      <c r="X96" s="13">
        <v>15.0</v>
      </c>
    </row>
    <row r="97">
      <c r="B97" s="3" t="s">
        <v>38</v>
      </c>
      <c r="C97" s="13" t="s">
        <v>28</v>
      </c>
      <c r="E97" s="21"/>
      <c r="G97" s="13" t="s">
        <v>33</v>
      </c>
      <c r="L97" s="13" t="s">
        <v>33</v>
      </c>
      <c r="M97" s="21"/>
      <c r="O97" s="13" t="s">
        <v>28</v>
      </c>
      <c r="S97" s="13" t="s">
        <v>33</v>
      </c>
      <c r="V97" s="22">
        <f t="shared" si="51"/>
        <v>131</v>
      </c>
      <c r="X97" s="13" t="s">
        <v>27</v>
      </c>
    </row>
    <row r="98">
      <c r="B98" s="3" t="s">
        <v>136</v>
      </c>
      <c r="C98" s="33">
        <v>75.15</v>
      </c>
      <c r="E98" s="39">
        <v>1.0</v>
      </c>
      <c r="G98" s="38">
        <v>-340948.0</v>
      </c>
      <c r="L98" s="38">
        <v>1395314.0</v>
      </c>
      <c r="M98" s="21"/>
      <c r="O98" s="6">
        <v>-510415.0</v>
      </c>
      <c r="S98" s="38">
        <v>8912.0</v>
      </c>
      <c r="V98" s="22">
        <f t="shared" si="51"/>
        <v>134</v>
      </c>
      <c r="X98" s="13">
        <v>40.0</v>
      </c>
    </row>
    <row r="99">
      <c r="B99" s="3" t="s">
        <v>137</v>
      </c>
      <c r="E99" s="21" t="str">
        <f t="shared" ref="E99:E235" si="52">INDEX($C$54:$C$98,F100+1,1)</f>
        <v>DraKayak</v>
      </c>
      <c r="F99" s="1">
        <v>0.0</v>
      </c>
      <c r="M99" s="21"/>
    </row>
    <row r="100">
      <c r="B100" s="3" t="s">
        <v>83</v>
      </c>
      <c r="E100" s="32">
        <f t="shared" si="52"/>
        <v>571.8</v>
      </c>
      <c r="F100" s="1">
        <v>1.0</v>
      </c>
      <c r="M100" s="21"/>
    </row>
    <row r="101">
      <c r="B101" s="3" t="s">
        <v>141</v>
      </c>
      <c r="E101" s="21">
        <f t="shared" si="52"/>
        <v>2</v>
      </c>
      <c r="F101" s="1">
        <v>2.0</v>
      </c>
      <c r="M101" s="21"/>
    </row>
    <row r="102">
      <c r="B102" s="2" t="s">
        <v>16</v>
      </c>
      <c r="E102" s="21" t="str">
        <f t="shared" si="52"/>
        <v>Ramm</v>
      </c>
      <c r="F102" s="1">
        <v>3.0</v>
      </c>
      <c r="M102" s="21"/>
    </row>
    <row r="103">
      <c r="B103" s="2" t="s">
        <v>327</v>
      </c>
      <c r="E103" s="32">
        <f t="shared" si="52"/>
        <v>431.22</v>
      </c>
      <c r="F103" s="1">
        <v>4.0</v>
      </c>
      <c r="M103" s="21"/>
    </row>
    <row r="104">
      <c r="B104" s="2" t="s">
        <v>130</v>
      </c>
      <c r="E104" s="21">
        <f t="shared" si="52"/>
        <v>3</v>
      </c>
      <c r="F104" s="1">
        <v>5.0</v>
      </c>
      <c r="M104" s="21"/>
    </row>
    <row r="105">
      <c r="B105" s="3" t="s">
        <v>17</v>
      </c>
      <c r="E105" s="21" t="str">
        <f t="shared" si="52"/>
        <v>Great Lakes Kayak Co</v>
      </c>
      <c r="F105" s="1">
        <v>6.0</v>
      </c>
      <c r="M105" s="21"/>
    </row>
    <row r="106">
      <c r="B106" s="3" t="s">
        <v>38</v>
      </c>
      <c r="E106" s="32">
        <f t="shared" si="52"/>
        <v>430.19</v>
      </c>
      <c r="F106" s="1">
        <v>7.0</v>
      </c>
      <c r="M106" s="21"/>
    </row>
    <row r="107">
      <c r="B107" s="3" t="s">
        <v>69</v>
      </c>
      <c r="E107" s="21">
        <f t="shared" si="52"/>
        <v>4</v>
      </c>
      <c r="F107" s="1">
        <v>8.0</v>
      </c>
      <c r="M107" s="21"/>
    </row>
    <row r="108">
      <c r="B108" s="3" t="s">
        <v>18</v>
      </c>
      <c r="E108" s="21" t="str">
        <f t="shared" si="52"/>
        <v>Under The Paddle</v>
      </c>
      <c r="F108" s="1">
        <v>9.0</v>
      </c>
      <c r="M108" s="21"/>
    </row>
    <row r="109">
      <c r="B109" s="3" t="s">
        <v>19</v>
      </c>
      <c r="E109" s="32">
        <f t="shared" si="52"/>
        <v>426.73</v>
      </c>
      <c r="F109" s="1">
        <v>10.0</v>
      </c>
      <c r="M109" s="21"/>
    </row>
    <row r="110">
      <c r="B110" s="3" t="s">
        <v>328</v>
      </c>
      <c r="E110" s="21">
        <f t="shared" si="52"/>
        <v>5</v>
      </c>
      <c r="F110" s="1">
        <v>11.0</v>
      </c>
      <c r="M110" s="21"/>
    </row>
    <row r="111">
      <c r="B111" s="3" t="s">
        <v>329</v>
      </c>
      <c r="E111" s="21" t="str">
        <f t="shared" si="52"/>
        <v>Crystal Crest Kayaks</v>
      </c>
      <c r="F111" s="1">
        <v>12.0</v>
      </c>
      <c r="M111" s="21"/>
    </row>
    <row r="112">
      <c r="B112" s="2" t="s">
        <v>27</v>
      </c>
      <c r="E112" s="32">
        <f t="shared" si="52"/>
        <v>422.43</v>
      </c>
      <c r="F112" s="1">
        <v>13.0</v>
      </c>
      <c r="M112" s="21"/>
    </row>
    <row r="113">
      <c r="B113" s="2" t="s">
        <v>330</v>
      </c>
      <c r="E113" s="21">
        <f t="shared" si="52"/>
        <v>6</v>
      </c>
      <c r="F113" s="1">
        <v>14.0</v>
      </c>
      <c r="M113" s="21"/>
    </row>
    <row r="114">
      <c r="B114" s="2" t="s">
        <v>115</v>
      </c>
      <c r="E114" s="21" t="str">
        <f t="shared" si="52"/>
        <v>Bluewater Kayaks</v>
      </c>
      <c r="F114" s="1">
        <v>15.0</v>
      </c>
      <c r="M114" s="21"/>
    </row>
    <row r="115">
      <c r="B115" s="3" t="s">
        <v>13</v>
      </c>
      <c r="E115" s="32">
        <f t="shared" si="52"/>
        <v>412.02</v>
      </c>
      <c r="F115" s="1">
        <v>16.0</v>
      </c>
      <c r="M115" s="21"/>
    </row>
    <row r="116">
      <c r="B116" s="3" t="s">
        <v>38</v>
      </c>
      <c r="E116" s="21">
        <f t="shared" si="52"/>
        <v>7</v>
      </c>
      <c r="F116" s="1">
        <v>17.0</v>
      </c>
      <c r="M116" s="21"/>
    </row>
    <row r="117">
      <c r="B117" s="3" t="s">
        <v>38</v>
      </c>
      <c r="E117" s="21" t="str">
        <f t="shared" si="52"/>
        <v>H2OExplorers</v>
      </c>
      <c r="F117" s="1">
        <v>18.0</v>
      </c>
      <c r="M117" s="21"/>
    </row>
    <row r="118">
      <c r="B118" s="3" t="s">
        <v>14</v>
      </c>
      <c r="E118" s="32">
        <f t="shared" si="52"/>
        <v>360.8</v>
      </c>
      <c r="F118" s="1">
        <v>19.0</v>
      </c>
      <c r="M118" s="21"/>
    </row>
    <row r="119">
      <c r="B119" s="3" t="s">
        <v>15</v>
      </c>
      <c r="E119" s="21">
        <f t="shared" si="52"/>
        <v>8</v>
      </c>
      <c r="F119" s="1">
        <v>20.0</v>
      </c>
      <c r="M119" s="21"/>
    </row>
    <row r="120">
      <c r="B120" s="3" t="s">
        <v>100</v>
      </c>
      <c r="E120" s="21" t="str">
        <f t="shared" si="52"/>
        <v>ElevationKayaks</v>
      </c>
      <c r="F120" s="1">
        <v>21.0</v>
      </c>
      <c r="M120" s="21"/>
    </row>
    <row r="121">
      <c r="B121" s="3" t="s">
        <v>161</v>
      </c>
      <c r="E121" s="32">
        <f t="shared" si="52"/>
        <v>347.79</v>
      </c>
      <c r="F121" s="1">
        <v>22.0</v>
      </c>
      <c r="M121" s="21"/>
    </row>
    <row r="122">
      <c r="B122" s="2" t="s">
        <v>27</v>
      </c>
      <c r="E122" s="21">
        <f t="shared" si="52"/>
        <v>9</v>
      </c>
      <c r="F122" s="1">
        <v>23.0</v>
      </c>
      <c r="M122" s="21"/>
    </row>
    <row r="123">
      <c r="B123" s="2" t="s">
        <v>331</v>
      </c>
      <c r="E123" s="21" t="str">
        <f t="shared" si="52"/>
        <v>AquaFloat</v>
      </c>
      <c r="F123" s="1">
        <v>24.0</v>
      </c>
      <c r="M123" s="21"/>
    </row>
    <row r="124">
      <c r="B124" s="2" t="s">
        <v>130</v>
      </c>
      <c r="E124" s="32">
        <f t="shared" si="52"/>
        <v>345.87</v>
      </c>
      <c r="F124" s="1">
        <v>25.0</v>
      </c>
      <c r="M124" s="21"/>
    </row>
    <row r="125">
      <c r="B125" s="3" t="s">
        <v>13</v>
      </c>
      <c r="E125" s="21">
        <f t="shared" si="52"/>
        <v>10</v>
      </c>
      <c r="F125" s="1">
        <v>26.0</v>
      </c>
      <c r="M125" s="21"/>
    </row>
    <row r="126">
      <c r="B126" s="3" t="s">
        <v>38</v>
      </c>
      <c r="E126" s="21" t="str">
        <f t="shared" si="52"/>
        <v>Freeflow Kayaks</v>
      </c>
      <c r="F126" s="1">
        <v>27.0</v>
      </c>
      <c r="M126" s="21"/>
    </row>
    <row r="127">
      <c r="B127" s="3" t="s">
        <v>38</v>
      </c>
      <c r="E127" s="32">
        <f t="shared" si="52"/>
        <v>299.92</v>
      </c>
      <c r="F127" s="1">
        <v>28.0</v>
      </c>
      <c r="M127" s="21"/>
    </row>
    <row r="128">
      <c r="B128" s="3" t="s">
        <v>14</v>
      </c>
      <c r="E128" s="21">
        <f t="shared" si="52"/>
        <v>11</v>
      </c>
      <c r="F128" s="1">
        <v>29.0</v>
      </c>
      <c r="M128" s="21"/>
    </row>
    <row r="129">
      <c r="B129" s="3" t="s">
        <v>15</v>
      </c>
      <c r="E129" s="21" t="str">
        <f t="shared" si="52"/>
        <v>Jaws Kayak</v>
      </c>
      <c r="F129" s="1">
        <v>30.0</v>
      </c>
      <c r="M129" s="21"/>
    </row>
    <row r="130">
      <c r="B130" s="3" t="s">
        <v>85</v>
      </c>
      <c r="E130" s="32">
        <f t="shared" si="52"/>
        <v>226.28</v>
      </c>
      <c r="F130" s="1">
        <v>31.0</v>
      </c>
      <c r="M130" s="21"/>
    </row>
    <row r="131">
      <c r="B131" s="3" t="s">
        <v>332</v>
      </c>
      <c r="E131" s="21">
        <f t="shared" si="52"/>
        <v>12</v>
      </c>
      <c r="F131" s="1">
        <v>32.0</v>
      </c>
      <c r="M131" s="21"/>
    </row>
    <row r="132">
      <c r="B132" s="2" t="s">
        <v>20</v>
      </c>
      <c r="E132" s="21" t="str">
        <f t="shared" si="52"/>
        <v>Sea Splash Kayaks</v>
      </c>
      <c r="F132" s="1">
        <v>33.0</v>
      </c>
      <c r="M132" s="21"/>
    </row>
    <row r="133">
      <c r="B133" s="2" t="s">
        <v>333</v>
      </c>
      <c r="E133" s="32">
        <f t="shared" si="52"/>
        <v>190.66</v>
      </c>
      <c r="F133" s="1">
        <v>34.0</v>
      </c>
      <c r="M133" s="21"/>
    </row>
    <row r="134">
      <c r="B134" s="2" t="s">
        <v>115</v>
      </c>
      <c r="E134" s="21">
        <f t="shared" si="52"/>
        <v>13</v>
      </c>
      <c r="F134" s="1">
        <v>35.0</v>
      </c>
      <c r="M134" s="21"/>
    </row>
    <row r="135">
      <c r="B135" s="3" t="s">
        <v>17</v>
      </c>
      <c r="E135" s="21" t="str">
        <f t="shared" si="52"/>
        <v>MarineX</v>
      </c>
      <c r="F135" s="1">
        <v>36.0</v>
      </c>
      <c r="M135" s="21"/>
    </row>
    <row r="136">
      <c r="B136" s="3" t="s">
        <v>38</v>
      </c>
      <c r="E136" s="32">
        <f t="shared" si="52"/>
        <v>172.45</v>
      </c>
      <c r="F136" s="1">
        <v>37.0</v>
      </c>
      <c r="M136" s="21"/>
    </row>
    <row r="137">
      <c r="B137" s="3" t="s">
        <v>38</v>
      </c>
      <c r="E137" s="21">
        <f t="shared" si="52"/>
        <v>14</v>
      </c>
      <c r="F137" s="1">
        <v>38.0</v>
      </c>
      <c r="M137" s="21"/>
    </row>
    <row r="138">
      <c r="B138" s="3" t="s">
        <v>14</v>
      </c>
      <c r="E138" s="21" t="str">
        <f t="shared" si="52"/>
        <v>InSync Kayaks</v>
      </c>
      <c r="F138" s="1">
        <v>39.0</v>
      </c>
      <c r="M138" s="21"/>
    </row>
    <row r="139">
      <c r="B139" s="3" t="s">
        <v>21</v>
      </c>
      <c r="E139" s="32">
        <f t="shared" si="52"/>
        <v>77.01</v>
      </c>
      <c r="F139" s="1">
        <v>40.0</v>
      </c>
      <c r="M139" s="21"/>
    </row>
    <row r="140">
      <c r="B140" s="3" t="s">
        <v>334</v>
      </c>
      <c r="E140" s="21">
        <f t="shared" si="52"/>
        <v>15</v>
      </c>
      <c r="F140" s="1">
        <v>41.0</v>
      </c>
      <c r="M140" s="21"/>
    </row>
    <row r="141">
      <c r="B141" s="3" t="s">
        <v>335</v>
      </c>
      <c r="E141" s="21" t="str">
        <f t="shared" si="52"/>
        <v>Nordiks</v>
      </c>
      <c r="F141" s="1">
        <v>42.0</v>
      </c>
      <c r="M141" s="21"/>
    </row>
    <row r="142">
      <c r="B142" s="2" t="s">
        <v>20</v>
      </c>
      <c r="E142" s="32">
        <f t="shared" si="52"/>
        <v>75.15</v>
      </c>
      <c r="F142" s="1">
        <v>43.0</v>
      </c>
      <c r="M142" s="21"/>
    </row>
    <row r="143">
      <c r="B143" s="2" t="s">
        <v>336</v>
      </c>
      <c r="E143" s="21" t="str">
        <f t="shared" si="52"/>
        <v>#NUM!</v>
      </c>
      <c r="F143" s="1">
        <v>44.0</v>
      </c>
      <c r="M143" s="21"/>
    </row>
    <row r="144">
      <c r="B144" s="2" t="s">
        <v>130</v>
      </c>
      <c r="E144" s="21" t="str">
        <f t="shared" si="52"/>
        <v>#NUM!</v>
      </c>
      <c r="F144" s="1">
        <v>45.0</v>
      </c>
      <c r="M144" s="21"/>
    </row>
    <row r="145">
      <c r="B145" s="3" t="s">
        <v>13</v>
      </c>
      <c r="E145" s="21" t="str">
        <f t="shared" si="52"/>
        <v>#NUM!</v>
      </c>
      <c r="F145" s="1">
        <v>46.0</v>
      </c>
      <c r="M145" s="21"/>
    </row>
    <row r="146">
      <c r="B146" s="3" t="s">
        <v>38</v>
      </c>
      <c r="E146" s="21" t="str">
        <f t="shared" si="52"/>
        <v>#NUM!</v>
      </c>
      <c r="F146" s="1">
        <v>47.0</v>
      </c>
      <c r="M146" s="21"/>
    </row>
    <row r="147">
      <c r="B147" s="3" t="s">
        <v>69</v>
      </c>
      <c r="E147" s="21" t="str">
        <f t="shared" si="52"/>
        <v>#NUM!</v>
      </c>
      <c r="F147" s="1">
        <v>48.0</v>
      </c>
      <c r="M147" s="21"/>
    </row>
    <row r="148">
      <c r="B148" s="3" t="s">
        <v>136</v>
      </c>
      <c r="E148" s="21" t="str">
        <f t="shared" si="52"/>
        <v>#NUM!</v>
      </c>
      <c r="F148" s="1">
        <v>49.0</v>
      </c>
      <c r="M148" s="21"/>
    </row>
    <row r="149">
      <c r="B149" s="3" t="s">
        <v>19</v>
      </c>
      <c r="E149" s="21" t="str">
        <f t="shared" si="52"/>
        <v>#NUM!</v>
      </c>
      <c r="F149" s="1">
        <v>50.0</v>
      </c>
      <c r="M149" s="21"/>
    </row>
    <row r="150">
      <c r="B150" s="3" t="s">
        <v>85</v>
      </c>
      <c r="E150" s="21" t="str">
        <f t="shared" si="52"/>
        <v>#NUM!</v>
      </c>
      <c r="F150" s="1">
        <v>51.0</v>
      </c>
      <c r="M150" s="21"/>
    </row>
    <row r="151">
      <c r="B151" s="3" t="s">
        <v>337</v>
      </c>
      <c r="E151" s="21" t="str">
        <f t="shared" si="52"/>
        <v>#NUM!</v>
      </c>
      <c r="F151" s="1">
        <v>52.0</v>
      </c>
      <c r="M151" s="21"/>
    </row>
    <row r="152">
      <c r="B152" s="2" t="s">
        <v>20</v>
      </c>
      <c r="E152" s="21" t="str">
        <f t="shared" si="52"/>
        <v>#NUM!</v>
      </c>
      <c r="F152" s="1">
        <v>53.0</v>
      </c>
      <c r="M152" s="21"/>
    </row>
    <row r="153">
      <c r="B153" s="2" t="s">
        <v>338</v>
      </c>
      <c r="E153" s="21" t="str">
        <f t="shared" si="52"/>
        <v>#NUM!</v>
      </c>
      <c r="F153" s="1">
        <v>54.0</v>
      </c>
      <c r="M153" s="21"/>
    </row>
    <row r="154">
      <c r="B154" s="2" t="s">
        <v>221</v>
      </c>
      <c r="E154" s="21" t="str">
        <f t="shared" si="52"/>
        <v>#NUM!</v>
      </c>
      <c r="F154" s="1">
        <v>55.0</v>
      </c>
      <c r="M154" s="21"/>
    </row>
    <row r="155">
      <c r="B155" s="3" t="s">
        <v>13</v>
      </c>
      <c r="E155" s="21" t="str">
        <f t="shared" si="52"/>
        <v>#NUM!</v>
      </c>
      <c r="F155" s="1">
        <v>56.0</v>
      </c>
      <c r="M155" s="21"/>
    </row>
    <row r="156">
      <c r="B156" s="3" t="s">
        <v>38</v>
      </c>
      <c r="E156" s="21" t="str">
        <f t="shared" si="52"/>
        <v>#NUM!</v>
      </c>
      <c r="F156" s="1">
        <v>57.0</v>
      </c>
      <c r="M156" s="21"/>
    </row>
    <row r="157">
      <c r="B157" s="3" t="s">
        <v>38</v>
      </c>
      <c r="E157" s="21" t="str">
        <f t="shared" si="52"/>
        <v>#NUM!</v>
      </c>
      <c r="F157" s="1">
        <v>58.0</v>
      </c>
      <c r="M157" s="21"/>
    </row>
    <row r="158">
      <c r="B158" s="3" t="s">
        <v>136</v>
      </c>
      <c r="E158" s="21" t="str">
        <f t="shared" si="52"/>
        <v>#NUM!</v>
      </c>
      <c r="F158" s="1">
        <v>59.0</v>
      </c>
      <c r="M158" s="21"/>
    </row>
    <row r="159">
      <c r="B159" s="3" t="s">
        <v>15</v>
      </c>
      <c r="E159" s="21" t="str">
        <f t="shared" si="52"/>
        <v>#NUM!</v>
      </c>
      <c r="F159" s="1">
        <v>60.0</v>
      </c>
      <c r="M159" s="21"/>
    </row>
    <row r="160">
      <c r="B160" s="3" t="s">
        <v>339</v>
      </c>
      <c r="E160" s="21" t="str">
        <f t="shared" si="52"/>
        <v>#NUM!</v>
      </c>
      <c r="F160" s="1">
        <v>61.0</v>
      </c>
      <c r="M160" s="21"/>
    </row>
    <row r="161">
      <c r="B161" s="3" t="s">
        <v>105</v>
      </c>
      <c r="E161" s="21" t="str">
        <f t="shared" si="52"/>
        <v>#NUM!</v>
      </c>
      <c r="F161" s="1">
        <v>62.0</v>
      </c>
      <c r="M161" s="21"/>
    </row>
    <row r="162">
      <c r="B162" s="2" t="s">
        <v>20</v>
      </c>
      <c r="E162" s="21" t="str">
        <f t="shared" si="52"/>
        <v>#NUM!</v>
      </c>
      <c r="F162" s="1">
        <v>63.0</v>
      </c>
      <c r="M162" s="21"/>
    </row>
    <row r="163">
      <c r="B163" s="2" t="s">
        <v>340</v>
      </c>
      <c r="E163" s="21" t="str">
        <f t="shared" si="52"/>
        <v>#NUM!</v>
      </c>
      <c r="F163" s="1">
        <v>64.0</v>
      </c>
      <c r="M163" s="21"/>
    </row>
    <row r="164">
      <c r="B164" s="2" t="s">
        <v>122</v>
      </c>
      <c r="E164" s="21" t="str">
        <f t="shared" si="52"/>
        <v>#NUM!</v>
      </c>
      <c r="F164" s="1">
        <v>65.0</v>
      </c>
      <c r="M164" s="21"/>
    </row>
    <row r="165">
      <c r="B165" s="3" t="s">
        <v>13</v>
      </c>
      <c r="E165" s="21" t="str">
        <f t="shared" si="52"/>
        <v>#NUM!</v>
      </c>
      <c r="F165" s="1">
        <v>66.0</v>
      </c>
      <c r="M165" s="21"/>
    </row>
    <row r="166">
      <c r="B166" s="3" t="s">
        <v>38</v>
      </c>
      <c r="E166" s="21" t="str">
        <f t="shared" si="52"/>
        <v>#NUM!</v>
      </c>
      <c r="F166" s="1">
        <v>67.0</v>
      </c>
      <c r="M166" s="21"/>
    </row>
    <row r="167">
      <c r="B167" s="3" t="s">
        <v>38</v>
      </c>
      <c r="E167" s="21" t="str">
        <f t="shared" si="52"/>
        <v>#NUM!</v>
      </c>
      <c r="F167" s="1">
        <v>68.0</v>
      </c>
      <c r="M167" s="21"/>
    </row>
    <row r="168">
      <c r="B168" s="3" t="s">
        <v>136</v>
      </c>
      <c r="E168" s="21" t="str">
        <f t="shared" si="52"/>
        <v>#NUM!</v>
      </c>
      <c r="F168" s="1">
        <v>69.0</v>
      </c>
      <c r="M168" s="21"/>
    </row>
    <row r="169">
      <c r="B169" s="3" t="s">
        <v>21</v>
      </c>
      <c r="E169" s="21" t="str">
        <f t="shared" si="52"/>
        <v>#NUM!</v>
      </c>
      <c r="F169" s="1">
        <v>70.0</v>
      </c>
      <c r="M169" s="21"/>
    </row>
    <row r="170">
      <c r="B170" s="3" t="s">
        <v>123</v>
      </c>
      <c r="E170" s="21" t="str">
        <f t="shared" si="52"/>
        <v>#NUM!</v>
      </c>
      <c r="F170" s="1">
        <v>71.0</v>
      </c>
      <c r="M170" s="21"/>
    </row>
    <row r="171">
      <c r="B171" s="3" t="s">
        <v>341</v>
      </c>
      <c r="E171" s="21" t="str">
        <f t="shared" si="52"/>
        <v>#NUM!</v>
      </c>
      <c r="F171" s="1">
        <v>72.0</v>
      </c>
      <c r="M171" s="21"/>
    </row>
    <row r="172">
      <c r="B172" s="2" t="s">
        <v>28</v>
      </c>
      <c r="E172" s="21" t="str">
        <f t="shared" si="52"/>
        <v>#NUM!</v>
      </c>
      <c r="F172" s="1">
        <v>73.0</v>
      </c>
      <c r="M172" s="21"/>
    </row>
    <row r="173">
      <c r="B173" s="2" t="s">
        <v>342</v>
      </c>
      <c r="E173" s="21" t="str">
        <f t="shared" si="52"/>
        <v>#NUM!</v>
      </c>
      <c r="F173" s="1">
        <v>74.0</v>
      </c>
      <c r="M173" s="21"/>
    </row>
    <row r="174">
      <c r="B174" s="2" t="s">
        <v>115</v>
      </c>
      <c r="E174" s="21" t="str">
        <f t="shared" si="52"/>
        <v>#NUM!</v>
      </c>
      <c r="F174" s="1">
        <v>75.0</v>
      </c>
      <c r="M174" s="21"/>
    </row>
    <row r="175">
      <c r="B175" s="3" t="s">
        <v>13</v>
      </c>
      <c r="E175" s="21" t="str">
        <f t="shared" si="52"/>
        <v>#NUM!</v>
      </c>
      <c r="F175" s="1">
        <v>76.0</v>
      </c>
      <c r="M175" s="21"/>
    </row>
    <row r="176">
      <c r="B176" s="3" t="s">
        <v>38</v>
      </c>
      <c r="E176" s="21" t="str">
        <f t="shared" si="52"/>
        <v>#NUM!</v>
      </c>
      <c r="F176" s="1">
        <v>77.0</v>
      </c>
      <c r="M176" s="21"/>
    </row>
    <row r="177">
      <c r="B177" s="3" t="s">
        <v>38</v>
      </c>
      <c r="E177" s="21" t="str">
        <f t="shared" si="52"/>
        <v>#NUM!</v>
      </c>
      <c r="F177" s="1">
        <v>78.0</v>
      </c>
      <c r="M177" s="21"/>
    </row>
    <row r="178">
      <c r="B178" s="3" t="s">
        <v>136</v>
      </c>
      <c r="E178" s="21" t="str">
        <f t="shared" si="52"/>
        <v>#NUM!</v>
      </c>
      <c r="F178" s="1">
        <v>79.0</v>
      </c>
      <c r="M178" s="21"/>
    </row>
    <row r="179">
      <c r="B179" s="3" t="s">
        <v>19</v>
      </c>
      <c r="E179" s="21" t="str">
        <f t="shared" si="52"/>
        <v>#NUM!</v>
      </c>
      <c r="F179" s="1">
        <v>80.0</v>
      </c>
      <c r="M179" s="21"/>
    </row>
    <row r="180">
      <c r="B180" s="3" t="s">
        <v>343</v>
      </c>
      <c r="E180" s="21" t="str">
        <f t="shared" si="52"/>
        <v>#NUM!</v>
      </c>
      <c r="F180" s="1">
        <v>81.0</v>
      </c>
      <c r="M180" s="21"/>
    </row>
    <row r="181">
      <c r="B181" s="3" t="s">
        <v>125</v>
      </c>
      <c r="E181" s="21" t="str">
        <f t="shared" si="52"/>
        <v>#NUM!</v>
      </c>
      <c r="F181" s="1">
        <v>82.0</v>
      </c>
      <c r="M181" s="21"/>
    </row>
    <row r="182">
      <c r="B182" s="2" t="s">
        <v>28</v>
      </c>
      <c r="E182" s="21" t="str">
        <f t="shared" si="52"/>
        <v>#NUM!</v>
      </c>
      <c r="F182" s="1">
        <v>83.0</v>
      </c>
      <c r="M182" s="21"/>
    </row>
    <row r="183">
      <c r="B183" s="2" t="s">
        <v>344</v>
      </c>
      <c r="E183" s="21" t="str">
        <f t="shared" si="52"/>
        <v>#NUM!</v>
      </c>
      <c r="F183" s="1">
        <v>84.0</v>
      </c>
      <c r="M183" s="21"/>
    </row>
    <row r="184">
      <c r="B184" s="2" t="s">
        <v>130</v>
      </c>
      <c r="E184" s="21" t="str">
        <f t="shared" si="52"/>
        <v>#NUM!</v>
      </c>
      <c r="F184" s="1">
        <v>85.0</v>
      </c>
      <c r="M184" s="21"/>
    </row>
    <row r="185">
      <c r="B185" s="3" t="s">
        <v>13</v>
      </c>
      <c r="E185" s="21" t="str">
        <f t="shared" si="52"/>
        <v>#NUM!</v>
      </c>
      <c r="F185" s="1">
        <v>86.0</v>
      </c>
      <c r="M185" s="21"/>
    </row>
    <row r="186">
      <c r="B186" s="3" t="s">
        <v>38</v>
      </c>
      <c r="E186" s="21" t="str">
        <f t="shared" si="52"/>
        <v>#NUM!</v>
      </c>
      <c r="F186" s="1">
        <v>87.0</v>
      </c>
      <c r="M186" s="21"/>
    </row>
    <row r="187">
      <c r="B187" s="3" t="s">
        <v>69</v>
      </c>
      <c r="E187" s="21" t="str">
        <f t="shared" si="52"/>
        <v>#NUM!</v>
      </c>
      <c r="F187" s="1">
        <v>88.0</v>
      </c>
      <c r="M187" s="21"/>
    </row>
    <row r="188">
      <c r="B188" s="3" t="s">
        <v>136</v>
      </c>
      <c r="E188" s="21" t="str">
        <f t="shared" si="52"/>
        <v>#NUM!</v>
      </c>
      <c r="F188" s="1">
        <v>89.0</v>
      </c>
      <c r="M188" s="21"/>
    </row>
    <row r="189">
      <c r="B189" s="3" t="s">
        <v>19</v>
      </c>
      <c r="E189" s="21" t="str">
        <f t="shared" si="52"/>
        <v>#NUM!</v>
      </c>
      <c r="F189" s="1">
        <v>90.0</v>
      </c>
      <c r="M189" s="21"/>
    </row>
    <row r="190">
      <c r="B190" s="3" t="s">
        <v>323</v>
      </c>
      <c r="E190" s="21" t="str">
        <f t="shared" si="52"/>
        <v>#NUM!</v>
      </c>
      <c r="F190" s="1">
        <v>91.0</v>
      </c>
      <c r="M190" s="21"/>
    </row>
    <row r="191">
      <c r="B191" s="3" t="s">
        <v>345</v>
      </c>
      <c r="E191" s="21" t="str">
        <f t="shared" si="52"/>
        <v>#NUM!</v>
      </c>
      <c r="F191" s="1">
        <v>92.0</v>
      </c>
      <c r="M191" s="21"/>
    </row>
    <row r="192">
      <c r="B192" s="2" t="s">
        <v>24</v>
      </c>
      <c r="E192" s="21" t="str">
        <f t="shared" si="52"/>
        <v>#NUM!</v>
      </c>
      <c r="F192" s="1">
        <v>93.0</v>
      </c>
      <c r="M192" s="21"/>
    </row>
    <row r="193">
      <c r="B193" s="2" t="s">
        <v>346</v>
      </c>
      <c r="E193" s="21" t="str">
        <f t="shared" si="52"/>
        <v>#NUM!</v>
      </c>
      <c r="F193" s="1">
        <v>94.0</v>
      </c>
      <c r="M193" s="21"/>
    </row>
    <row r="194">
      <c r="B194" s="2" t="s">
        <v>115</v>
      </c>
      <c r="E194" s="21" t="str">
        <f t="shared" si="52"/>
        <v>#NUM!</v>
      </c>
      <c r="F194" s="1">
        <v>95.0</v>
      </c>
      <c r="M194" s="21"/>
    </row>
    <row r="195">
      <c r="B195" s="3" t="s">
        <v>17</v>
      </c>
      <c r="E195" s="21" t="str">
        <f t="shared" si="52"/>
        <v>#NUM!</v>
      </c>
      <c r="F195" s="1">
        <v>96.0</v>
      </c>
      <c r="M195" s="21"/>
    </row>
    <row r="196">
      <c r="B196" s="3" t="s">
        <v>38</v>
      </c>
      <c r="E196" s="21" t="str">
        <f t="shared" si="52"/>
        <v>#NUM!</v>
      </c>
      <c r="F196" s="1">
        <v>97.0</v>
      </c>
      <c r="M196" s="21"/>
    </row>
    <row r="197">
      <c r="B197" s="3" t="s">
        <v>38</v>
      </c>
      <c r="E197" s="21" t="str">
        <f t="shared" si="52"/>
        <v>#NUM!</v>
      </c>
      <c r="F197" s="1">
        <v>98.0</v>
      </c>
      <c r="M197" s="21"/>
    </row>
    <row r="198">
      <c r="B198" s="3" t="s">
        <v>14</v>
      </c>
      <c r="E198" s="21" t="str">
        <f t="shared" si="52"/>
        <v>#NUM!</v>
      </c>
      <c r="F198" s="1">
        <v>99.0</v>
      </c>
      <c r="M198" s="21"/>
    </row>
    <row r="199">
      <c r="B199" s="3" t="s">
        <v>21</v>
      </c>
      <c r="E199" s="21" t="str">
        <f t="shared" si="52"/>
        <v>#NUM!</v>
      </c>
      <c r="F199" s="1">
        <v>100.0</v>
      </c>
      <c r="M199" s="21"/>
    </row>
    <row r="200">
      <c r="B200" s="3" t="s">
        <v>108</v>
      </c>
      <c r="E200" s="21" t="str">
        <f t="shared" si="52"/>
        <v>#NUM!</v>
      </c>
      <c r="F200" s="1">
        <v>101.0</v>
      </c>
      <c r="M200" s="21"/>
    </row>
    <row r="201">
      <c r="B201" s="3" t="s">
        <v>161</v>
      </c>
      <c r="E201" s="21" t="str">
        <f t="shared" si="52"/>
        <v>#NUM!</v>
      </c>
      <c r="F201" s="1">
        <v>102.0</v>
      </c>
      <c r="M201" s="21"/>
    </row>
    <row r="202">
      <c r="B202" s="2" t="s">
        <v>24</v>
      </c>
      <c r="E202" s="21" t="str">
        <f t="shared" si="52"/>
        <v>#NUM!</v>
      </c>
      <c r="F202" s="1">
        <v>103.0</v>
      </c>
      <c r="M202" s="21"/>
    </row>
    <row r="203">
      <c r="B203" s="2" t="s">
        <v>347</v>
      </c>
      <c r="E203" s="21" t="str">
        <f t="shared" si="52"/>
        <v>#NUM!</v>
      </c>
      <c r="F203" s="1">
        <v>104.0</v>
      </c>
      <c r="M203" s="21"/>
    </row>
    <row r="204">
      <c r="B204" s="2" t="s">
        <v>130</v>
      </c>
      <c r="E204" s="21" t="str">
        <f t="shared" si="52"/>
        <v>#NUM!</v>
      </c>
      <c r="F204" s="1">
        <v>105.0</v>
      </c>
      <c r="M204" s="21"/>
    </row>
    <row r="205">
      <c r="B205" s="3" t="s">
        <v>17</v>
      </c>
      <c r="E205" s="21" t="str">
        <f t="shared" si="52"/>
        <v>#NUM!</v>
      </c>
      <c r="F205" s="1">
        <v>106.0</v>
      </c>
      <c r="M205" s="21"/>
    </row>
    <row r="206">
      <c r="B206" s="3" t="s">
        <v>38</v>
      </c>
      <c r="E206" s="21" t="str">
        <f t="shared" si="52"/>
        <v>#NUM!</v>
      </c>
      <c r="F206" s="1">
        <v>107.0</v>
      </c>
      <c r="M206" s="21"/>
    </row>
    <row r="207">
      <c r="B207" s="3" t="s">
        <v>38</v>
      </c>
      <c r="E207" s="21" t="str">
        <f t="shared" si="52"/>
        <v>#NUM!</v>
      </c>
      <c r="F207" s="1">
        <v>108.0</v>
      </c>
      <c r="M207" s="21"/>
    </row>
    <row r="208">
      <c r="B208" s="3" t="s">
        <v>14</v>
      </c>
      <c r="E208" s="21" t="str">
        <f t="shared" si="52"/>
        <v>#NUM!</v>
      </c>
      <c r="F208" s="1">
        <v>109.0</v>
      </c>
      <c r="M208" s="21"/>
    </row>
    <row r="209">
      <c r="B209" s="3" t="s">
        <v>19</v>
      </c>
      <c r="E209" s="21" t="str">
        <f t="shared" si="52"/>
        <v>#NUM!</v>
      </c>
      <c r="F209" s="1">
        <v>110.0</v>
      </c>
      <c r="M209" s="21"/>
    </row>
    <row r="210">
      <c r="B210" s="3" t="s">
        <v>348</v>
      </c>
      <c r="E210" s="21" t="str">
        <f t="shared" si="52"/>
        <v>#NUM!</v>
      </c>
      <c r="F210" s="1">
        <v>111.0</v>
      </c>
      <c r="M210" s="21"/>
    </row>
    <row r="211">
      <c r="B211" s="3" t="s">
        <v>349</v>
      </c>
      <c r="E211" s="21" t="str">
        <f t="shared" si="52"/>
        <v>#NUM!</v>
      </c>
      <c r="F211" s="1">
        <v>112.0</v>
      </c>
      <c r="M211" s="21"/>
    </row>
    <row r="212">
      <c r="B212" s="2" t="s">
        <v>23</v>
      </c>
      <c r="E212" s="21" t="str">
        <f t="shared" si="52"/>
        <v>#NUM!</v>
      </c>
      <c r="F212" s="1">
        <v>113.0</v>
      </c>
      <c r="M212" s="21"/>
    </row>
    <row r="213">
      <c r="B213" s="2" t="s">
        <v>350</v>
      </c>
      <c r="E213" s="21" t="str">
        <f t="shared" si="52"/>
        <v>#NUM!</v>
      </c>
      <c r="F213" s="1">
        <v>114.0</v>
      </c>
      <c r="M213" s="21"/>
    </row>
    <row r="214">
      <c r="B214" s="2" t="s">
        <v>115</v>
      </c>
      <c r="E214" s="21" t="str">
        <f t="shared" si="52"/>
        <v>#NUM!</v>
      </c>
      <c r="F214" s="1">
        <v>115.0</v>
      </c>
      <c r="M214" s="21"/>
    </row>
    <row r="215">
      <c r="B215" s="3" t="s">
        <v>13</v>
      </c>
      <c r="E215" s="21" t="str">
        <f t="shared" si="52"/>
        <v>#NUM!</v>
      </c>
      <c r="F215" s="1">
        <v>116.0</v>
      </c>
      <c r="M215" s="21"/>
    </row>
    <row r="216">
      <c r="B216" s="3" t="s">
        <v>38</v>
      </c>
      <c r="E216" s="21" t="str">
        <f t="shared" si="52"/>
        <v>#NUM!</v>
      </c>
      <c r="F216" s="1">
        <v>117.0</v>
      </c>
      <c r="M216" s="21"/>
    </row>
    <row r="217">
      <c r="B217" s="3" t="s">
        <v>38</v>
      </c>
      <c r="E217" s="21" t="str">
        <f t="shared" si="52"/>
        <v>#NUM!</v>
      </c>
      <c r="F217" s="1">
        <v>118.0</v>
      </c>
      <c r="M217" s="21"/>
    </row>
    <row r="218">
      <c r="B218" s="3" t="s">
        <v>136</v>
      </c>
      <c r="E218" s="21" t="str">
        <f t="shared" si="52"/>
        <v>#NUM!</v>
      </c>
      <c r="F218" s="1">
        <v>119.0</v>
      </c>
      <c r="M218" s="21"/>
    </row>
    <row r="219">
      <c r="B219" s="3" t="s">
        <v>273</v>
      </c>
      <c r="E219" s="21" t="str">
        <f t="shared" si="52"/>
        <v>#NUM!</v>
      </c>
      <c r="F219" s="1">
        <v>120.0</v>
      </c>
      <c r="M219" s="21"/>
    </row>
    <row r="220">
      <c r="B220" s="3" t="s">
        <v>351</v>
      </c>
      <c r="E220" s="21" t="str">
        <f t="shared" si="52"/>
        <v>#NUM!</v>
      </c>
      <c r="F220" s="1">
        <v>121.0</v>
      </c>
      <c r="M220" s="21"/>
    </row>
    <row r="221">
      <c r="B221" s="3" t="s">
        <v>352</v>
      </c>
      <c r="E221" s="21" t="str">
        <f t="shared" si="52"/>
        <v>#NUM!</v>
      </c>
      <c r="F221" s="1">
        <v>122.0</v>
      </c>
      <c r="M221" s="21"/>
    </row>
    <row r="222">
      <c r="B222" s="2" t="s">
        <v>23</v>
      </c>
      <c r="E222" s="21" t="str">
        <f t="shared" si="52"/>
        <v>#NUM!</v>
      </c>
      <c r="F222" s="1">
        <v>123.0</v>
      </c>
      <c r="M222" s="21"/>
    </row>
    <row r="223">
      <c r="B223" s="2" t="s">
        <v>353</v>
      </c>
      <c r="E223" s="21" t="str">
        <f t="shared" si="52"/>
        <v>#NUM!</v>
      </c>
      <c r="F223" s="1">
        <v>124.0</v>
      </c>
      <c r="M223" s="21"/>
    </row>
    <row r="224">
      <c r="B224" s="2" t="s">
        <v>221</v>
      </c>
      <c r="E224" s="21" t="str">
        <f t="shared" si="52"/>
        <v>#NUM!</v>
      </c>
      <c r="F224" s="1">
        <v>125.0</v>
      </c>
      <c r="M224" s="21"/>
    </row>
    <row r="225">
      <c r="B225" s="3" t="s">
        <v>13</v>
      </c>
      <c r="E225" s="21" t="str">
        <f t="shared" si="52"/>
        <v>#NUM!</v>
      </c>
      <c r="F225" s="1">
        <v>126.0</v>
      </c>
      <c r="M225" s="21"/>
    </row>
    <row r="226">
      <c r="B226" s="3" t="s">
        <v>38</v>
      </c>
      <c r="E226" s="21" t="str">
        <f t="shared" si="52"/>
        <v>#NUM!</v>
      </c>
      <c r="F226" s="1">
        <v>127.0</v>
      </c>
      <c r="M226" s="21"/>
    </row>
    <row r="227">
      <c r="B227" s="3" t="s">
        <v>38</v>
      </c>
      <c r="E227" s="21" t="str">
        <f t="shared" si="52"/>
        <v>#NUM!</v>
      </c>
      <c r="F227" s="1">
        <v>128.0</v>
      </c>
      <c r="M227" s="21"/>
    </row>
    <row r="228">
      <c r="B228" s="3" t="s">
        <v>136</v>
      </c>
      <c r="E228" s="21" t="str">
        <f t="shared" si="52"/>
        <v>#NUM!</v>
      </c>
      <c r="F228" s="1">
        <v>129.0</v>
      </c>
      <c r="M228" s="21"/>
    </row>
    <row r="229">
      <c r="B229" s="3" t="s">
        <v>273</v>
      </c>
      <c r="E229" s="21" t="str">
        <f t="shared" si="52"/>
        <v>#NUM!</v>
      </c>
      <c r="F229" s="1">
        <v>130.0</v>
      </c>
      <c r="M229" s="21"/>
    </row>
    <row r="230">
      <c r="B230" s="3" t="s">
        <v>354</v>
      </c>
      <c r="E230" s="21" t="str">
        <f t="shared" si="52"/>
        <v>#NUM!</v>
      </c>
      <c r="F230" s="1">
        <v>131.0</v>
      </c>
      <c r="M230" s="21"/>
    </row>
    <row r="231">
      <c r="B231" s="3" t="s">
        <v>355</v>
      </c>
      <c r="E231" s="21" t="str">
        <f t="shared" si="52"/>
        <v>#NUM!</v>
      </c>
      <c r="F231" s="1">
        <v>132.0</v>
      </c>
      <c r="M231" s="21"/>
    </row>
    <row r="232">
      <c r="B232" s="2" t="s">
        <v>23</v>
      </c>
      <c r="E232" s="21" t="str">
        <f t="shared" si="52"/>
        <v>#NUM!</v>
      </c>
      <c r="F232" s="1">
        <v>133.0</v>
      </c>
      <c r="M232" s="21"/>
    </row>
    <row r="233">
      <c r="B233" s="2" t="s">
        <v>356</v>
      </c>
      <c r="E233" s="21" t="str">
        <f t="shared" si="52"/>
        <v>#NUM!</v>
      </c>
      <c r="F233" s="1">
        <v>134.0</v>
      </c>
      <c r="M233" s="21"/>
    </row>
    <row r="234">
      <c r="B234" s="2" t="s">
        <v>122</v>
      </c>
      <c r="E234" s="21" t="str">
        <f t="shared" si="52"/>
        <v>#NUM!</v>
      </c>
      <c r="F234" s="1">
        <v>135.0</v>
      </c>
      <c r="M234" s="21"/>
    </row>
    <row r="235">
      <c r="B235" s="3" t="s">
        <v>13</v>
      </c>
      <c r="E235" s="21" t="str">
        <f t="shared" si="52"/>
        <v>#NUM!</v>
      </c>
      <c r="F235" s="1">
        <v>136.0</v>
      </c>
      <c r="M235" s="21"/>
    </row>
    <row r="236">
      <c r="B236" s="3" t="s">
        <v>38</v>
      </c>
      <c r="E236" s="21" t="str">
        <f t="array" ref="E236">INDEX($C$54:$C$98,#REF!+1,1)</f>
        <v>#REF!</v>
      </c>
      <c r="F236" s="1">
        <v>137.0</v>
      </c>
      <c r="M236" s="21"/>
    </row>
    <row r="237">
      <c r="B237" s="3" t="s">
        <v>38</v>
      </c>
      <c r="E237" s="21" t="str">
        <f t="shared" ref="E237:E273" si="53">INDEX($C$54:$C$98,F237+1,1)</f>
        <v>#NUM!</v>
      </c>
      <c r="F237" s="1">
        <v>138.0</v>
      </c>
      <c r="M237" s="21"/>
    </row>
    <row r="238">
      <c r="B238" s="3" t="s">
        <v>136</v>
      </c>
      <c r="E238" s="21" t="str">
        <f t="shared" si="53"/>
        <v>#NUM!</v>
      </c>
      <c r="F238" s="1">
        <v>139.0</v>
      </c>
      <c r="M238" s="21"/>
    </row>
    <row r="239">
      <c r="B239" s="3" t="s">
        <v>273</v>
      </c>
      <c r="E239" s="21" t="str">
        <f t="shared" si="53"/>
        <v>#NUM!</v>
      </c>
      <c r="F239" s="1">
        <v>140.0</v>
      </c>
      <c r="M239" s="21"/>
    </row>
    <row r="240">
      <c r="B240" s="3" t="s">
        <v>357</v>
      </c>
      <c r="E240" s="21" t="str">
        <f t="shared" si="53"/>
        <v>#NUM!</v>
      </c>
      <c r="F240" s="1">
        <v>141.0</v>
      </c>
      <c r="M240" s="21"/>
    </row>
    <row r="241">
      <c r="B241" s="3" t="s">
        <v>358</v>
      </c>
      <c r="E241" s="21" t="str">
        <f t="shared" si="53"/>
        <v>#NUM!</v>
      </c>
      <c r="F241" s="1">
        <v>142.0</v>
      </c>
      <c r="M241" s="21"/>
    </row>
    <row r="242">
      <c r="B242" s="2" t="s">
        <v>31</v>
      </c>
      <c r="E242" s="21" t="str">
        <f t="shared" si="53"/>
        <v>#NUM!</v>
      </c>
      <c r="F242" s="1">
        <v>143.0</v>
      </c>
      <c r="M242" s="21"/>
    </row>
    <row r="243">
      <c r="B243" s="2" t="s">
        <v>359</v>
      </c>
      <c r="E243" s="21" t="str">
        <f t="shared" si="53"/>
        <v>#NUM!</v>
      </c>
      <c r="F243" s="1">
        <v>144.0</v>
      </c>
      <c r="M243" s="21"/>
    </row>
    <row r="244">
      <c r="B244" s="2" t="s">
        <v>115</v>
      </c>
      <c r="E244" s="21" t="str">
        <f t="shared" si="53"/>
        <v>#NUM!</v>
      </c>
      <c r="F244" s="1">
        <v>145.0</v>
      </c>
      <c r="M244" s="21"/>
    </row>
    <row r="245">
      <c r="B245" s="3" t="s">
        <v>13</v>
      </c>
      <c r="E245" s="21" t="str">
        <f t="shared" si="53"/>
        <v>#NUM!</v>
      </c>
      <c r="F245" s="1">
        <v>146.0</v>
      </c>
      <c r="M245" s="21"/>
    </row>
    <row r="246">
      <c r="B246" s="3" t="s">
        <v>38</v>
      </c>
      <c r="E246" s="21" t="str">
        <f t="shared" si="53"/>
        <v>#NUM!</v>
      </c>
      <c r="F246" s="1">
        <v>147.0</v>
      </c>
      <c r="M246" s="21"/>
    </row>
    <row r="247">
      <c r="B247" s="3" t="s">
        <v>38</v>
      </c>
      <c r="E247" s="21" t="str">
        <f t="shared" si="53"/>
        <v>#NUM!</v>
      </c>
      <c r="F247" s="1">
        <v>148.0</v>
      </c>
      <c r="M247" s="21"/>
    </row>
    <row r="248">
      <c r="B248" s="3" t="s">
        <v>136</v>
      </c>
      <c r="E248" s="21" t="str">
        <f t="shared" si="53"/>
        <v>#NUM!</v>
      </c>
      <c r="F248" s="1">
        <v>149.0</v>
      </c>
      <c r="M248" s="21"/>
    </row>
    <row r="249">
      <c r="B249" s="3" t="s">
        <v>273</v>
      </c>
      <c r="E249" s="21" t="str">
        <f t="shared" si="53"/>
        <v>#NUM!</v>
      </c>
      <c r="F249" s="1">
        <v>150.0</v>
      </c>
      <c r="M249" s="21"/>
    </row>
    <row r="250">
      <c r="B250" s="3" t="s">
        <v>360</v>
      </c>
      <c r="E250" s="21" t="str">
        <f t="shared" si="53"/>
        <v>#NUM!</v>
      </c>
      <c r="F250" s="1">
        <v>151.0</v>
      </c>
      <c r="M250" s="21"/>
    </row>
    <row r="251">
      <c r="B251" s="3" t="s">
        <v>361</v>
      </c>
      <c r="E251" s="21" t="str">
        <f t="shared" si="53"/>
        <v>#NUM!</v>
      </c>
      <c r="F251" s="1">
        <v>152.0</v>
      </c>
      <c r="M251" s="21"/>
    </row>
    <row r="252">
      <c r="B252" s="2" t="s">
        <v>31</v>
      </c>
      <c r="E252" s="21" t="str">
        <f t="shared" si="53"/>
        <v>#NUM!</v>
      </c>
      <c r="F252" s="1">
        <v>153.0</v>
      </c>
      <c r="M252" s="21"/>
    </row>
    <row r="253">
      <c r="B253" s="2" t="s">
        <v>362</v>
      </c>
      <c r="E253" s="21" t="str">
        <f t="shared" si="53"/>
        <v>#NUM!</v>
      </c>
      <c r="F253" s="1">
        <v>154.0</v>
      </c>
      <c r="M253" s="21"/>
    </row>
    <row r="254">
      <c r="B254" s="2" t="s">
        <v>130</v>
      </c>
      <c r="E254" s="21" t="str">
        <f t="shared" si="53"/>
        <v>#NUM!</v>
      </c>
      <c r="F254" s="1">
        <v>155.0</v>
      </c>
      <c r="M254" s="21"/>
    </row>
    <row r="255">
      <c r="B255" s="3" t="s">
        <v>13</v>
      </c>
      <c r="E255" s="21" t="str">
        <f t="shared" si="53"/>
        <v>#NUM!</v>
      </c>
      <c r="F255" s="1">
        <v>156.0</v>
      </c>
      <c r="M255" s="21"/>
    </row>
    <row r="256">
      <c r="B256" s="3" t="s">
        <v>38</v>
      </c>
      <c r="E256" s="21" t="str">
        <f t="shared" si="53"/>
        <v>#NUM!</v>
      </c>
      <c r="F256" s="1">
        <v>157.0</v>
      </c>
      <c r="M256" s="21"/>
    </row>
    <row r="257">
      <c r="B257" s="3" t="s">
        <v>38</v>
      </c>
      <c r="E257" s="21" t="str">
        <f t="shared" si="53"/>
        <v>#NUM!</v>
      </c>
      <c r="F257" s="1">
        <v>158.0</v>
      </c>
      <c r="M257" s="21"/>
    </row>
    <row r="258">
      <c r="B258" s="3" t="s">
        <v>136</v>
      </c>
      <c r="E258" s="21" t="str">
        <f t="shared" si="53"/>
        <v>#NUM!</v>
      </c>
      <c r="F258" s="1">
        <v>159.0</v>
      </c>
      <c r="M258" s="21"/>
    </row>
    <row r="259">
      <c r="B259" s="3" t="s">
        <v>273</v>
      </c>
      <c r="E259" s="21" t="str">
        <f t="shared" si="53"/>
        <v>#NUM!</v>
      </c>
      <c r="F259" s="1">
        <v>160.0</v>
      </c>
      <c r="M259" s="21"/>
    </row>
    <row r="260">
      <c r="B260" s="3" t="s">
        <v>351</v>
      </c>
      <c r="E260" s="21" t="str">
        <f t="shared" si="53"/>
        <v>#NUM!</v>
      </c>
      <c r="F260" s="1">
        <v>161.0</v>
      </c>
      <c r="M260" s="21"/>
    </row>
    <row r="261">
      <c r="B261" s="3" t="s">
        <v>363</v>
      </c>
      <c r="E261" s="21" t="str">
        <f t="shared" si="53"/>
        <v>#NUM!</v>
      </c>
      <c r="F261" s="1">
        <v>162.0</v>
      </c>
      <c r="M261" s="21"/>
    </row>
    <row r="262">
      <c r="B262" s="2" t="s">
        <v>31</v>
      </c>
      <c r="E262" s="21" t="str">
        <f t="shared" si="53"/>
        <v>#NUM!</v>
      </c>
      <c r="F262" s="1">
        <v>163.0</v>
      </c>
      <c r="M262" s="21"/>
    </row>
    <row r="263">
      <c r="B263" s="2" t="s">
        <v>364</v>
      </c>
      <c r="E263" s="21" t="str">
        <f t="shared" si="53"/>
        <v>#NUM!</v>
      </c>
      <c r="F263" s="1">
        <v>164.0</v>
      </c>
      <c r="M263" s="21"/>
    </row>
    <row r="264">
      <c r="B264" s="2" t="s">
        <v>221</v>
      </c>
      <c r="E264" s="21" t="str">
        <f t="shared" si="53"/>
        <v>#NUM!</v>
      </c>
      <c r="F264" s="1">
        <v>165.0</v>
      </c>
      <c r="M264" s="21"/>
    </row>
    <row r="265">
      <c r="B265" s="3" t="s">
        <v>13</v>
      </c>
      <c r="E265" s="21" t="str">
        <f t="shared" si="53"/>
        <v>#NUM!</v>
      </c>
      <c r="F265" s="1">
        <v>166.0</v>
      </c>
      <c r="M265" s="21"/>
    </row>
    <row r="266">
      <c r="B266" s="3" t="s">
        <v>38</v>
      </c>
      <c r="E266" s="21" t="str">
        <f t="shared" si="53"/>
        <v>#NUM!</v>
      </c>
      <c r="F266" s="1">
        <v>167.0</v>
      </c>
      <c r="M266" s="21"/>
    </row>
    <row r="267">
      <c r="B267" s="3" t="s">
        <v>38</v>
      </c>
      <c r="E267" s="21" t="str">
        <f t="shared" si="53"/>
        <v>#NUM!</v>
      </c>
      <c r="F267" s="1">
        <v>168.0</v>
      </c>
      <c r="M267" s="21"/>
    </row>
    <row r="268">
      <c r="B268" s="3" t="s">
        <v>14</v>
      </c>
      <c r="E268" s="21" t="str">
        <f t="shared" si="53"/>
        <v>#NUM!</v>
      </c>
      <c r="F268" s="1">
        <v>169.0</v>
      </c>
      <c r="M268" s="21"/>
    </row>
    <row r="269">
      <c r="B269" s="3" t="s">
        <v>137</v>
      </c>
      <c r="E269" s="21" t="str">
        <f t="shared" si="53"/>
        <v>#NUM!</v>
      </c>
      <c r="F269" s="1">
        <v>170.0</v>
      </c>
      <c r="M269" s="21"/>
    </row>
    <row r="270">
      <c r="B270" s="3" t="s">
        <v>365</v>
      </c>
      <c r="E270" s="21" t="str">
        <f t="shared" si="53"/>
        <v>#NUM!</v>
      </c>
      <c r="F270" s="1">
        <v>171.0</v>
      </c>
      <c r="M270" s="21"/>
    </row>
    <row r="271">
      <c r="B271" s="3" t="s">
        <v>198</v>
      </c>
      <c r="E271" s="21" t="str">
        <f t="shared" si="53"/>
        <v>#NUM!</v>
      </c>
      <c r="F271" s="1">
        <v>172.0</v>
      </c>
      <c r="M271" s="21"/>
    </row>
    <row r="272">
      <c r="B272" s="2" t="s">
        <v>12</v>
      </c>
      <c r="E272" s="21" t="str">
        <f t="shared" si="53"/>
        <v>#NUM!</v>
      </c>
      <c r="F272" s="1">
        <v>173.0</v>
      </c>
      <c r="M272" s="21"/>
    </row>
    <row r="273">
      <c r="B273" s="2" t="s">
        <v>366</v>
      </c>
      <c r="E273" s="21" t="str">
        <f t="shared" si="53"/>
        <v>#NUM!</v>
      </c>
      <c r="F273" s="1">
        <v>174.0</v>
      </c>
      <c r="M273" s="21"/>
    </row>
    <row r="274">
      <c r="B274" s="2" t="s">
        <v>115</v>
      </c>
      <c r="F274" s="1">
        <v>175.0</v>
      </c>
    </row>
    <row r="275">
      <c r="B275" s="3" t="s">
        <v>13</v>
      </c>
      <c r="F275" s="1">
        <v>176.0</v>
      </c>
    </row>
    <row r="276">
      <c r="B276" s="3" t="s">
        <v>38</v>
      </c>
      <c r="F276" s="1">
        <v>177.0</v>
      </c>
    </row>
    <row r="277">
      <c r="B277" s="3" t="s">
        <v>38</v>
      </c>
      <c r="F277" s="1">
        <v>178.0</v>
      </c>
    </row>
    <row r="278">
      <c r="B278" s="3" t="s">
        <v>14</v>
      </c>
      <c r="F278" s="1">
        <v>179.0</v>
      </c>
    </row>
    <row r="279">
      <c r="B279" s="3" t="s">
        <v>15</v>
      </c>
      <c r="F279" s="1">
        <v>180.0</v>
      </c>
    </row>
    <row r="280">
      <c r="B280" s="3" t="s">
        <v>367</v>
      </c>
      <c r="F280" s="1">
        <v>181.0</v>
      </c>
    </row>
    <row r="281">
      <c r="B281" s="3" t="s">
        <v>101</v>
      </c>
      <c r="F281" s="1">
        <v>182.0</v>
      </c>
    </row>
    <row r="282">
      <c r="B282" s="2" t="s">
        <v>12</v>
      </c>
      <c r="F282" s="1">
        <v>183.0</v>
      </c>
    </row>
    <row r="283">
      <c r="B283" s="2" t="s">
        <v>368</v>
      </c>
      <c r="F283" s="1">
        <v>184.0</v>
      </c>
    </row>
    <row r="284">
      <c r="B284" s="2" t="s">
        <v>130</v>
      </c>
      <c r="F284" s="1">
        <v>185.0</v>
      </c>
    </row>
    <row r="285">
      <c r="B285" s="3" t="s">
        <v>13</v>
      </c>
      <c r="F285" s="1">
        <v>186.0</v>
      </c>
    </row>
    <row r="286">
      <c r="B286" s="3" t="s">
        <v>38</v>
      </c>
      <c r="F286" s="1">
        <v>187.0</v>
      </c>
    </row>
    <row r="287">
      <c r="B287" s="3" t="s">
        <v>38</v>
      </c>
      <c r="F287" s="1">
        <v>188.0</v>
      </c>
    </row>
    <row r="288">
      <c r="B288" s="3" t="s">
        <v>14</v>
      </c>
      <c r="F288" s="1">
        <v>189.0</v>
      </c>
    </row>
    <row r="289">
      <c r="B289" s="3" t="s">
        <v>15</v>
      </c>
      <c r="F289" s="1">
        <v>190.0</v>
      </c>
    </row>
    <row r="290">
      <c r="B290" s="3" t="s">
        <v>120</v>
      </c>
      <c r="F290" s="1">
        <v>191.0</v>
      </c>
    </row>
    <row r="291">
      <c r="B291" s="3" t="s">
        <v>196</v>
      </c>
      <c r="F291" s="1">
        <v>192.0</v>
      </c>
    </row>
    <row r="292">
      <c r="B292" s="2" t="s">
        <v>12</v>
      </c>
      <c r="F292" s="1">
        <v>193.0</v>
      </c>
    </row>
    <row r="293">
      <c r="B293" s="2" t="s">
        <v>369</v>
      </c>
      <c r="F293" s="1">
        <v>194.0</v>
      </c>
    </row>
    <row r="294">
      <c r="B294" s="2" t="s">
        <v>122</v>
      </c>
      <c r="F294" s="1">
        <v>195.0</v>
      </c>
    </row>
    <row r="295">
      <c r="B295" s="3" t="s">
        <v>13</v>
      </c>
      <c r="F295" s="1">
        <v>196.0</v>
      </c>
    </row>
    <row r="296">
      <c r="B296" s="3" t="s">
        <v>38</v>
      </c>
      <c r="F296" s="1">
        <v>197.0</v>
      </c>
    </row>
    <row r="297">
      <c r="B297" s="3" t="s">
        <v>38</v>
      </c>
      <c r="F297" s="1">
        <v>198.0</v>
      </c>
    </row>
    <row r="298">
      <c r="B298" s="3" t="s">
        <v>136</v>
      </c>
      <c r="F298" s="1">
        <v>199.0</v>
      </c>
    </row>
    <row r="299">
      <c r="B299" s="3" t="s">
        <v>15</v>
      </c>
      <c r="F299" s="1">
        <v>200.0</v>
      </c>
    </row>
    <row r="300">
      <c r="B300" s="3" t="s">
        <v>370</v>
      </c>
      <c r="F300" s="1">
        <v>201.0</v>
      </c>
    </row>
    <row r="301">
      <c r="B301" s="3" t="s">
        <v>179</v>
      </c>
      <c r="F301" s="1">
        <v>202.0</v>
      </c>
    </row>
    <row r="302">
      <c r="B302" s="2" t="s">
        <v>12</v>
      </c>
      <c r="F302" s="1">
        <v>203.0</v>
      </c>
    </row>
    <row r="303">
      <c r="B303" s="2" t="s">
        <v>371</v>
      </c>
      <c r="F303" s="1">
        <v>204.0</v>
      </c>
    </row>
    <row r="304">
      <c r="B304" s="2" t="s">
        <v>152</v>
      </c>
      <c r="F304" s="1">
        <v>205.0</v>
      </c>
    </row>
    <row r="305">
      <c r="B305" s="3" t="s">
        <v>13</v>
      </c>
      <c r="F305" s="1">
        <v>206.0</v>
      </c>
    </row>
    <row r="306">
      <c r="B306" s="3" t="s">
        <v>38</v>
      </c>
      <c r="F306" s="1">
        <v>207.0</v>
      </c>
    </row>
    <row r="307">
      <c r="B307" s="3" t="s">
        <v>38</v>
      </c>
      <c r="F307" s="1">
        <v>208.0</v>
      </c>
    </row>
    <row r="308">
      <c r="B308" s="3" t="s">
        <v>136</v>
      </c>
      <c r="F308" s="1">
        <v>209.0</v>
      </c>
    </row>
    <row r="309">
      <c r="B309" s="3" t="s">
        <v>15</v>
      </c>
      <c r="F309" s="1">
        <v>210.0</v>
      </c>
    </row>
    <row r="310">
      <c r="B310" s="3" t="s">
        <v>354</v>
      </c>
      <c r="F310" s="1">
        <v>211.0</v>
      </c>
    </row>
    <row r="311">
      <c r="B311" s="3" t="s">
        <v>372</v>
      </c>
      <c r="F311" s="1">
        <v>212.0</v>
      </c>
    </row>
    <row r="312">
      <c r="B312" s="2" t="s">
        <v>32</v>
      </c>
      <c r="F312" s="1">
        <v>213.0</v>
      </c>
    </row>
    <row r="313">
      <c r="B313" s="2" t="s">
        <v>373</v>
      </c>
      <c r="F313" s="1">
        <v>214.0</v>
      </c>
    </row>
    <row r="314">
      <c r="B314" s="2" t="s">
        <v>115</v>
      </c>
      <c r="F314" s="1">
        <v>215.0</v>
      </c>
    </row>
    <row r="315">
      <c r="B315" s="3" t="s">
        <v>17</v>
      </c>
      <c r="F315" s="1">
        <v>216.0</v>
      </c>
    </row>
    <row r="316">
      <c r="B316" s="3" t="s">
        <v>38</v>
      </c>
      <c r="F316" s="1">
        <v>217.0</v>
      </c>
    </row>
    <row r="317">
      <c r="B317" s="3" t="s">
        <v>38</v>
      </c>
      <c r="F317" s="1">
        <v>218.0</v>
      </c>
    </row>
    <row r="318">
      <c r="B318" s="3" t="s">
        <v>14</v>
      </c>
      <c r="F318" s="1">
        <v>219.0</v>
      </c>
    </row>
    <row r="319">
      <c r="B319" s="3" t="s">
        <v>15</v>
      </c>
      <c r="F319" s="1">
        <v>220.0</v>
      </c>
    </row>
    <row r="320">
      <c r="B320" s="3" t="s">
        <v>135</v>
      </c>
      <c r="F320" s="1">
        <v>221.0</v>
      </c>
    </row>
    <row r="321">
      <c r="B321" s="3" t="s">
        <v>107</v>
      </c>
      <c r="F321" s="1">
        <v>222.0</v>
      </c>
    </row>
    <row r="322">
      <c r="B322" s="2" t="s">
        <v>32</v>
      </c>
      <c r="F322" s="1">
        <v>223.0</v>
      </c>
    </row>
    <row r="323">
      <c r="B323" s="2" t="s">
        <v>374</v>
      </c>
      <c r="F323" s="1">
        <v>224.0</v>
      </c>
    </row>
    <row r="324">
      <c r="B324" s="2" t="s">
        <v>115</v>
      </c>
      <c r="F324" s="1">
        <v>225.0</v>
      </c>
    </row>
    <row r="325">
      <c r="B325" s="3" t="s">
        <v>13</v>
      </c>
      <c r="F325" s="1">
        <v>226.0</v>
      </c>
    </row>
    <row r="326">
      <c r="B326" s="3" t="s">
        <v>38</v>
      </c>
      <c r="F326" s="1">
        <v>227.0</v>
      </c>
    </row>
    <row r="327">
      <c r="B327" s="3" t="s">
        <v>38</v>
      </c>
      <c r="F327" s="1">
        <v>228.0</v>
      </c>
    </row>
    <row r="328">
      <c r="B328" s="3" t="s">
        <v>14</v>
      </c>
      <c r="F328" s="1">
        <v>229.0</v>
      </c>
    </row>
    <row r="329">
      <c r="B329" s="3" t="s">
        <v>15</v>
      </c>
      <c r="F329" s="1">
        <v>230.0</v>
      </c>
    </row>
    <row r="330">
      <c r="B330" s="3" t="s">
        <v>120</v>
      </c>
      <c r="F330" s="1">
        <v>231.0</v>
      </c>
    </row>
    <row r="331">
      <c r="B331" s="3" t="s">
        <v>142</v>
      </c>
      <c r="F331" s="1">
        <v>232.0</v>
      </c>
    </row>
    <row r="332">
      <c r="B332" s="2" t="s">
        <v>32</v>
      </c>
      <c r="F332" s="1">
        <v>233.0</v>
      </c>
    </row>
    <row r="333">
      <c r="B333" s="2" t="s">
        <v>375</v>
      </c>
      <c r="F333" s="1">
        <v>234.0</v>
      </c>
    </row>
    <row r="334">
      <c r="B334" s="2" t="s">
        <v>130</v>
      </c>
      <c r="F334" s="1">
        <v>235.0</v>
      </c>
    </row>
    <row r="335">
      <c r="B335" s="3" t="s">
        <v>17</v>
      </c>
      <c r="F335" s="1">
        <v>236.0</v>
      </c>
    </row>
    <row r="336">
      <c r="B336" s="3" t="s">
        <v>38</v>
      </c>
      <c r="F336" s="1">
        <v>237.0</v>
      </c>
    </row>
    <row r="337">
      <c r="B337" s="3" t="s">
        <v>38</v>
      </c>
      <c r="F337" s="1">
        <v>238.0</v>
      </c>
    </row>
    <row r="338">
      <c r="B338" s="3" t="s">
        <v>14</v>
      </c>
      <c r="F338" s="1">
        <v>239.0</v>
      </c>
    </row>
    <row r="339">
      <c r="B339" s="3" t="s">
        <v>15</v>
      </c>
      <c r="F339" s="1">
        <v>240.0</v>
      </c>
    </row>
    <row r="340">
      <c r="B340" s="3" t="s">
        <v>376</v>
      </c>
      <c r="F340" s="1">
        <v>241.0</v>
      </c>
    </row>
    <row r="341">
      <c r="B341" s="3" t="s">
        <v>96</v>
      </c>
      <c r="F341" s="1">
        <v>242.0</v>
      </c>
    </row>
    <row r="342">
      <c r="B342" s="2" t="s">
        <v>29</v>
      </c>
      <c r="F342" s="1">
        <v>243.0</v>
      </c>
    </row>
    <row r="343">
      <c r="B343" s="2" t="s">
        <v>377</v>
      </c>
      <c r="F343" s="1">
        <v>244.0</v>
      </c>
    </row>
    <row r="344">
      <c r="B344" s="2" t="s">
        <v>115</v>
      </c>
      <c r="F344" s="1">
        <v>245.0</v>
      </c>
    </row>
    <row r="345">
      <c r="B345" s="3" t="s">
        <v>13</v>
      </c>
      <c r="F345" s="1">
        <v>246.0</v>
      </c>
    </row>
    <row r="346">
      <c r="B346" s="3" t="s">
        <v>38</v>
      </c>
      <c r="F346" s="1">
        <v>247.0</v>
      </c>
    </row>
    <row r="347">
      <c r="B347" s="3" t="s">
        <v>38</v>
      </c>
      <c r="F347" s="1">
        <v>248.0</v>
      </c>
    </row>
    <row r="348">
      <c r="B348" s="3" t="s">
        <v>14</v>
      </c>
      <c r="F348" s="1">
        <v>249.0</v>
      </c>
    </row>
    <row r="349">
      <c r="B349" s="3" t="s">
        <v>19</v>
      </c>
      <c r="F349" s="1">
        <v>250.0</v>
      </c>
    </row>
    <row r="350">
      <c r="B350" s="3" t="s">
        <v>133</v>
      </c>
      <c r="F350" s="1">
        <v>251.0</v>
      </c>
    </row>
    <row r="351">
      <c r="B351" s="3" t="s">
        <v>117</v>
      </c>
      <c r="F351" s="1">
        <v>252.0</v>
      </c>
    </row>
    <row r="352">
      <c r="B352" s="2" t="s">
        <v>29</v>
      </c>
      <c r="F352" s="1">
        <v>253.0</v>
      </c>
    </row>
    <row r="353">
      <c r="B353" s="2" t="s">
        <v>378</v>
      </c>
      <c r="F353" s="1">
        <v>254.0</v>
      </c>
    </row>
    <row r="354">
      <c r="B354" s="2" t="s">
        <v>152</v>
      </c>
      <c r="F354" s="1">
        <v>255.0</v>
      </c>
    </row>
    <row r="355">
      <c r="B355" s="3" t="s">
        <v>13</v>
      </c>
      <c r="F355" s="1">
        <v>256.0</v>
      </c>
    </row>
    <row r="356">
      <c r="B356" s="3" t="s">
        <v>38</v>
      </c>
      <c r="F356" s="1">
        <v>257.0</v>
      </c>
    </row>
    <row r="357">
      <c r="B357" s="3" t="s">
        <v>38</v>
      </c>
      <c r="F357" s="1">
        <v>258.0</v>
      </c>
    </row>
    <row r="358">
      <c r="B358" s="3" t="s">
        <v>14</v>
      </c>
      <c r="F358" s="1">
        <v>259.0</v>
      </c>
    </row>
    <row r="359">
      <c r="B359" s="3" t="s">
        <v>19</v>
      </c>
      <c r="F359" s="1">
        <v>260.0</v>
      </c>
    </row>
    <row r="360">
      <c r="B360" s="3" t="s">
        <v>323</v>
      </c>
      <c r="F360" s="1">
        <v>261.0</v>
      </c>
    </row>
    <row r="361">
      <c r="B361" s="3" t="s">
        <v>153</v>
      </c>
      <c r="F361" s="1">
        <v>262.0</v>
      </c>
    </row>
    <row r="362">
      <c r="B362" s="2" t="s">
        <v>29</v>
      </c>
      <c r="F362" s="1">
        <v>263.0</v>
      </c>
    </row>
    <row r="363">
      <c r="B363" s="2" t="s">
        <v>379</v>
      </c>
      <c r="F363" s="1">
        <v>264.0</v>
      </c>
    </row>
    <row r="364">
      <c r="B364" s="2" t="s">
        <v>122</v>
      </c>
      <c r="F364" s="1">
        <v>265.0</v>
      </c>
    </row>
    <row r="365">
      <c r="B365" s="3" t="s">
        <v>13</v>
      </c>
      <c r="F365" s="1">
        <v>266.0</v>
      </c>
    </row>
    <row r="366">
      <c r="B366" s="3" t="s">
        <v>38</v>
      </c>
      <c r="F366" s="1">
        <v>267.0</v>
      </c>
    </row>
    <row r="367">
      <c r="B367" s="3" t="s">
        <v>69</v>
      </c>
      <c r="F367" s="1">
        <v>268.0</v>
      </c>
    </row>
    <row r="368">
      <c r="B368" s="3" t="s">
        <v>14</v>
      </c>
      <c r="F368" s="1">
        <v>269.0</v>
      </c>
    </row>
    <row r="369">
      <c r="B369" s="3" t="s">
        <v>19</v>
      </c>
      <c r="F369" s="1">
        <v>270.0</v>
      </c>
    </row>
    <row r="370">
      <c r="B370" s="3" t="s">
        <v>380</v>
      </c>
      <c r="F370" s="1">
        <v>271.0</v>
      </c>
    </row>
    <row r="371">
      <c r="B371" s="3" t="s">
        <v>97</v>
      </c>
      <c r="F371" s="1">
        <v>272.0</v>
      </c>
    </row>
    <row r="372">
      <c r="B372" s="2" t="s">
        <v>22</v>
      </c>
    </row>
    <row r="373">
      <c r="B373" s="2" t="s">
        <v>381</v>
      </c>
    </row>
    <row r="374">
      <c r="B374" s="2" t="s">
        <v>115</v>
      </c>
    </row>
    <row r="375">
      <c r="B375" s="3" t="s">
        <v>13</v>
      </c>
    </row>
    <row r="376">
      <c r="B376" s="3" t="s">
        <v>38</v>
      </c>
    </row>
    <row r="377">
      <c r="B377" s="3" t="s">
        <v>38</v>
      </c>
    </row>
    <row r="378">
      <c r="B378" s="3" t="s">
        <v>14</v>
      </c>
    </row>
    <row r="379">
      <c r="B379" s="3" t="s">
        <v>15</v>
      </c>
    </row>
    <row r="380">
      <c r="B380" s="3" t="s">
        <v>382</v>
      </c>
    </row>
    <row r="381">
      <c r="B381" s="3" t="s">
        <v>142</v>
      </c>
    </row>
    <row r="382">
      <c r="B382" s="2" t="s">
        <v>22</v>
      </c>
    </row>
    <row r="383">
      <c r="B383" s="2" t="s">
        <v>383</v>
      </c>
    </row>
    <row r="384">
      <c r="B384" s="2" t="s">
        <v>130</v>
      </c>
    </row>
    <row r="385">
      <c r="B385" s="3" t="s">
        <v>13</v>
      </c>
    </row>
    <row r="386">
      <c r="B386" s="3" t="s">
        <v>69</v>
      </c>
    </row>
    <row r="387">
      <c r="B387" s="3" t="s">
        <v>38</v>
      </c>
    </row>
    <row r="388">
      <c r="B388" s="3" t="s">
        <v>14</v>
      </c>
    </row>
    <row r="389">
      <c r="B389" s="3" t="s">
        <v>15</v>
      </c>
    </row>
    <row r="390">
      <c r="B390" s="3" t="s">
        <v>384</v>
      </c>
    </row>
    <row r="391">
      <c r="B391" s="3" t="s">
        <v>385</v>
      </c>
    </row>
    <row r="392">
      <c r="B392" s="2" t="s">
        <v>25</v>
      </c>
    </row>
    <row r="393">
      <c r="B393" s="2" t="s">
        <v>386</v>
      </c>
    </row>
    <row r="394">
      <c r="B394" s="2" t="s">
        <v>115</v>
      </c>
    </row>
    <row r="395">
      <c r="B395" s="3" t="s">
        <v>17</v>
      </c>
    </row>
    <row r="396">
      <c r="B396" s="3" t="s">
        <v>38</v>
      </c>
    </row>
    <row r="397">
      <c r="B397" s="3" t="s">
        <v>38</v>
      </c>
    </row>
    <row r="398">
      <c r="B398" s="3" t="s">
        <v>18</v>
      </c>
    </row>
    <row r="399">
      <c r="B399" s="3" t="s">
        <v>21</v>
      </c>
    </row>
    <row r="400">
      <c r="B400" s="3" t="s">
        <v>387</v>
      </c>
    </row>
    <row r="401">
      <c r="B401" s="3" t="s">
        <v>388</v>
      </c>
    </row>
    <row r="402">
      <c r="B402" s="2" t="s">
        <v>25</v>
      </c>
    </row>
    <row r="403">
      <c r="B403" s="2" t="s">
        <v>389</v>
      </c>
    </row>
    <row r="404">
      <c r="B404" s="2" t="s">
        <v>152</v>
      </c>
    </row>
    <row r="405">
      <c r="B405" s="3" t="s">
        <v>17</v>
      </c>
    </row>
    <row r="406">
      <c r="B406" s="3" t="s">
        <v>38</v>
      </c>
    </row>
    <row r="407">
      <c r="B407" s="3" t="s">
        <v>69</v>
      </c>
    </row>
    <row r="408">
      <c r="B408" s="3" t="s">
        <v>18</v>
      </c>
    </row>
    <row r="409">
      <c r="B409" s="3" t="s">
        <v>21</v>
      </c>
    </row>
    <row r="410">
      <c r="B410" s="3" t="s">
        <v>390</v>
      </c>
    </row>
    <row r="411">
      <c r="B411" s="3" t="s">
        <v>391</v>
      </c>
    </row>
    <row r="412">
      <c r="B412" s="2" t="s">
        <v>25</v>
      </c>
    </row>
    <row r="413">
      <c r="B413" s="2" t="s">
        <v>392</v>
      </c>
    </row>
    <row r="414">
      <c r="B414" s="2" t="s">
        <v>221</v>
      </c>
    </row>
    <row r="415">
      <c r="B415" s="3" t="s">
        <v>17</v>
      </c>
    </row>
    <row r="416">
      <c r="B416" s="3" t="s">
        <v>38</v>
      </c>
    </row>
    <row r="417">
      <c r="B417" s="3" t="s">
        <v>69</v>
      </c>
    </row>
    <row r="418">
      <c r="B418" s="3" t="s">
        <v>18</v>
      </c>
    </row>
    <row r="419">
      <c r="B419" s="3" t="s">
        <v>21</v>
      </c>
    </row>
    <row r="420">
      <c r="B420" s="3" t="s">
        <v>393</v>
      </c>
    </row>
    <row r="421">
      <c r="B421" s="3" t="s">
        <v>394</v>
      </c>
    </row>
    <row r="422">
      <c r="B422" s="2" t="s">
        <v>26</v>
      </c>
    </row>
    <row r="423">
      <c r="B423" s="2" t="s">
        <v>395</v>
      </c>
    </row>
    <row r="424">
      <c r="B424" s="2" t="s">
        <v>115</v>
      </c>
    </row>
    <row r="425">
      <c r="B425" s="3" t="s">
        <v>13</v>
      </c>
    </row>
    <row r="426">
      <c r="B426" s="3" t="s">
        <v>38</v>
      </c>
    </row>
    <row r="427">
      <c r="B427" s="3" t="s">
        <v>38</v>
      </c>
    </row>
    <row r="428">
      <c r="B428" s="3" t="s">
        <v>136</v>
      </c>
    </row>
    <row r="429">
      <c r="B429" s="3" t="s">
        <v>15</v>
      </c>
    </row>
    <row r="430">
      <c r="B430" s="3" t="s">
        <v>138</v>
      </c>
    </row>
    <row r="431">
      <c r="B431" s="3" t="s">
        <v>396</v>
      </c>
    </row>
    <row r="432">
      <c r="B432" s="2" t="s">
        <v>26</v>
      </c>
    </row>
    <row r="433">
      <c r="B433" s="2" t="s">
        <v>397</v>
      </c>
    </row>
    <row r="434">
      <c r="B434" s="2" t="s">
        <v>122</v>
      </c>
    </row>
    <row r="435">
      <c r="B435" s="3" t="s">
        <v>13</v>
      </c>
    </row>
    <row r="436">
      <c r="B436" s="3" t="s">
        <v>38</v>
      </c>
    </row>
    <row r="437">
      <c r="B437" s="3" t="s">
        <v>38</v>
      </c>
    </row>
    <row r="438">
      <c r="B438" s="3" t="s">
        <v>136</v>
      </c>
    </row>
    <row r="439">
      <c r="B439" s="3" t="s">
        <v>15</v>
      </c>
    </row>
    <row r="440">
      <c r="B440" s="3" t="s">
        <v>398</v>
      </c>
    </row>
    <row r="441">
      <c r="B441" s="3" t="s">
        <v>399</v>
      </c>
    </row>
    <row r="442">
      <c r="B442" s="2" t="s">
        <v>26</v>
      </c>
    </row>
    <row r="443">
      <c r="B443" s="2" t="s">
        <v>400</v>
      </c>
    </row>
    <row r="444">
      <c r="B444" s="2" t="s">
        <v>152</v>
      </c>
    </row>
    <row r="445">
      <c r="B445" s="3" t="s">
        <v>13</v>
      </c>
    </row>
    <row r="446">
      <c r="B446" s="3" t="s">
        <v>38</v>
      </c>
    </row>
    <row r="447">
      <c r="B447" s="3" t="s">
        <v>38</v>
      </c>
    </row>
    <row r="448">
      <c r="B448" s="3" t="s">
        <v>136</v>
      </c>
    </row>
    <row r="449">
      <c r="B449" s="3" t="s">
        <v>15</v>
      </c>
    </row>
    <row r="450">
      <c r="B450" s="3" t="s">
        <v>351</v>
      </c>
    </row>
    <row r="451">
      <c r="B451" s="3" t="s">
        <v>401</v>
      </c>
    </row>
    <row r="452">
      <c r="B452" s="4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2" t="s">
        <v>407</v>
      </c>
      <c r="H1" s="1" t="s">
        <v>317</v>
      </c>
    </row>
    <row r="2">
      <c r="A2" s="1" t="s">
        <v>408</v>
      </c>
      <c r="B2" s="16">
        <v>3.825</v>
      </c>
      <c r="C2" s="16"/>
      <c r="D2" s="16"/>
      <c r="E2" s="1">
        <v>42.0</v>
      </c>
      <c r="F2" s="41">
        <v>157.54</v>
      </c>
      <c r="G2" s="42">
        <v>239765.0</v>
      </c>
      <c r="H2" s="42">
        <v>3518539.0</v>
      </c>
    </row>
    <row r="3">
      <c r="A3" s="1" t="s">
        <v>409</v>
      </c>
      <c r="B3" s="15">
        <v>3.85</v>
      </c>
      <c r="C3" s="43">
        <v>4.175</v>
      </c>
      <c r="D3" s="16"/>
      <c r="E3" s="1">
        <v>45.0</v>
      </c>
      <c r="F3" s="44">
        <v>200.39</v>
      </c>
      <c r="G3" s="45">
        <v>428587.0</v>
      </c>
      <c r="H3" s="45">
        <v>5303376.0</v>
      </c>
    </row>
    <row r="4">
      <c r="A4" s="1" t="s">
        <v>410</v>
      </c>
      <c r="B4" s="16">
        <v>4.0</v>
      </c>
      <c r="C4" s="16">
        <v>4.3</v>
      </c>
      <c r="D4" s="16"/>
      <c r="E4" s="1">
        <v>50.0</v>
      </c>
      <c r="F4" s="44">
        <v>263.97</v>
      </c>
      <c r="G4" s="44">
        <v>635776.0</v>
      </c>
      <c r="H4" s="44">
        <v>6318255.0</v>
      </c>
    </row>
    <row r="5">
      <c r="A5" s="1" t="s">
        <v>310</v>
      </c>
      <c r="B5" s="16">
        <v>4.05</v>
      </c>
      <c r="C5" s="16">
        <v>4.375</v>
      </c>
      <c r="D5" s="16">
        <v>4.575</v>
      </c>
      <c r="E5" s="1">
        <v>60.0</v>
      </c>
      <c r="F5" s="44">
        <v>301.6</v>
      </c>
      <c r="G5" s="44">
        <v>376278.0</v>
      </c>
      <c r="H5" s="44">
        <v>6289483.0</v>
      </c>
    </row>
    <row r="6">
      <c r="A6" s="1" t="s">
        <v>311</v>
      </c>
      <c r="B6" s="16"/>
      <c r="C6" s="16"/>
      <c r="D6" s="16">
        <v>4.35</v>
      </c>
      <c r="E6" s="1">
        <v>63.0</v>
      </c>
      <c r="F6" s="44">
        <v>352.48</v>
      </c>
      <c r="G6" s="45">
        <v>508771.0</v>
      </c>
      <c r="H6" s="45">
        <v>7068451.0</v>
      </c>
    </row>
    <row r="7">
      <c r="A7" s="1" t="s">
        <v>312</v>
      </c>
      <c r="B7" s="16">
        <v>4.275</v>
      </c>
      <c r="C7" s="16">
        <v>4.45</v>
      </c>
      <c r="D7" s="16">
        <v>4.575</v>
      </c>
      <c r="E7" s="1">
        <v>66.0</v>
      </c>
      <c r="F7" s="44">
        <v>412.02</v>
      </c>
      <c r="G7" s="45">
        <v>595428.0</v>
      </c>
      <c r="H7" s="45">
        <v>8293981.0</v>
      </c>
    </row>
    <row r="8">
      <c r="A8" s="1" t="s">
        <v>411</v>
      </c>
      <c r="B8" s="16">
        <v>4.125</v>
      </c>
      <c r="C8" s="16">
        <v>4.35</v>
      </c>
      <c r="D8" s="16">
        <v>4.45</v>
      </c>
      <c r="E8" s="1">
        <v>66.0</v>
      </c>
      <c r="F8" s="41">
        <v>494.68</v>
      </c>
      <c r="G8" s="44">
        <v>826634.0</v>
      </c>
      <c r="H8" s="44">
        <v>8382123.0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</row>
    <row r="2">
      <c r="A2" s="2" t="s">
        <v>33</v>
      </c>
      <c r="B2" s="16">
        <v>3.375</v>
      </c>
      <c r="C2" s="16">
        <v>4.125</v>
      </c>
      <c r="D2" s="16">
        <v>4.15</v>
      </c>
      <c r="E2" s="22" t="s">
        <v>168</v>
      </c>
      <c r="F2" s="22" t="s">
        <v>243</v>
      </c>
    </row>
    <row r="3">
      <c r="A3" s="2" t="s">
        <v>26</v>
      </c>
      <c r="B3" s="16">
        <v>3.825</v>
      </c>
      <c r="C3" s="16">
        <v>3.85</v>
      </c>
      <c r="D3" s="16">
        <v>4.0</v>
      </c>
      <c r="E3" s="22" t="s">
        <v>172</v>
      </c>
      <c r="F3" s="22" t="s">
        <v>215</v>
      </c>
    </row>
    <row r="4">
      <c r="A4" s="2" t="s">
        <v>12</v>
      </c>
      <c r="B4" s="16">
        <v>3.625</v>
      </c>
      <c r="C4" s="16">
        <v>3.775</v>
      </c>
      <c r="D4" s="16">
        <v>4.075</v>
      </c>
      <c r="E4" s="22" t="s">
        <v>195</v>
      </c>
      <c r="F4" s="22" t="s">
        <v>172</v>
      </c>
      <c r="L4" s="1" t="s">
        <v>0</v>
      </c>
      <c r="M4" s="2" t="s">
        <v>24</v>
      </c>
      <c r="N4" s="2" t="s">
        <v>16</v>
      </c>
      <c r="O4" s="2" t="s">
        <v>20</v>
      </c>
      <c r="P4" s="2" t="s">
        <v>25</v>
      </c>
      <c r="Q4" s="2" t="s">
        <v>32</v>
      </c>
      <c r="R4" s="2" t="s">
        <v>28</v>
      </c>
      <c r="S4" s="2" t="s">
        <v>30</v>
      </c>
      <c r="T4" s="2" t="s">
        <v>27</v>
      </c>
      <c r="U4" s="2" t="s">
        <v>33</v>
      </c>
      <c r="V4" s="2" t="s">
        <v>31</v>
      </c>
      <c r="W4" s="2" t="s">
        <v>29</v>
      </c>
      <c r="X4" s="2" t="s">
        <v>22</v>
      </c>
      <c r="Y4" s="2" t="s">
        <v>12</v>
      </c>
      <c r="Z4" s="2" t="s">
        <v>23</v>
      </c>
      <c r="AA4" s="2" t="s">
        <v>26</v>
      </c>
      <c r="AB4" s="2"/>
      <c r="AC4" s="2"/>
      <c r="AD4" s="2"/>
    </row>
    <row r="5">
      <c r="A5" s="2" t="s">
        <v>29</v>
      </c>
      <c r="B5" s="16">
        <v>3.425</v>
      </c>
      <c r="C5" s="16">
        <v>3.5</v>
      </c>
      <c r="D5" s="16">
        <v>3.45</v>
      </c>
      <c r="E5" s="22" t="s">
        <v>188</v>
      </c>
      <c r="F5" s="22" t="s">
        <v>211</v>
      </c>
      <c r="L5" s="1" t="s">
        <v>408</v>
      </c>
      <c r="M5" s="16">
        <v>2.3</v>
      </c>
      <c r="N5" s="16">
        <v>2.425</v>
      </c>
      <c r="O5" s="16">
        <v>2.525</v>
      </c>
      <c r="P5" s="16">
        <v>2.55</v>
      </c>
      <c r="Q5" s="16">
        <v>2.6</v>
      </c>
      <c r="R5" s="16">
        <v>2.975</v>
      </c>
      <c r="S5" s="16">
        <v>3.3</v>
      </c>
      <c r="T5" s="16">
        <v>3.35</v>
      </c>
      <c r="U5" s="16">
        <v>3.375</v>
      </c>
      <c r="V5" s="16">
        <v>3.375</v>
      </c>
      <c r="W5" s="16">
        <v>3.425</v>
      </c>
      <c r="X5" s="16">
        <v>3.525</v>
      </c>
      <c r="Y5" s="16">
        <v>3.625</v>
      </c>
      <c r="Z5" s="16">
        <v>3.8</v>
      </c>
      <c r="AA5" s="16">
        <v>3.825</v>
      </c>
      <c r="AB5" s="16"/>
      <c r="AC5" s="16"/>
      <c r="AD5" s="16"/>
    </row>
    <row r="6">
      <c r="A6" s="2" t="s">
        <v>27</v>
      </c>
      <c r="B6" s="16">
        <v>3.35</v>
      </c>
      <c r="C6" s="16">
        <v>3.225</v>
      </c>
      <c r="D6" s="16">
        <v>3.525</v>
      </c>
      <c r="E6" s="22" t="s">
        <v>66</v>
      </c>
      <c r="F6" s="22" t="s">
        <v>66</v>
      </c>
      <c r="L6" s="1" t="s">
        <v>412</v>
      </c>
      <c r="M6" s="16">
        <v>2.4</v>
      </c>
      <c r="N6" s="16">
        <v>2.95</v>
      </c>
      <c r="O6" s="16">
        <v>2.55</v>
      </c>
      <c r="P6" s="16">
        <v>2.675</v>
      </c>
      <c r="Q6" s="16">
        <v>3.725</v>
      </c>
      <c r="R6" s="16">
        <v>3.4</v>
      </c>
      <c r="S6" s="16">
        <v>3.35</v>
      </c>
      <c r="T6" s="16">
        <v>3.225</v>
      </c>
      <c r="U6" s="16">
        <v>4.125</v>
      </c>
      <c r="V6" s="16">
        <v>3.475</v>
      </c>
      <c r="W6" s="16">
        <v>3.5</v>
      </c>
      <c r="X6" s="16">
        <v>3.775</v>
      </c>
      <c r="Y6" s="16">
        <v>3.775</v>
      </c>
      <c r="Z6" s="16">
        <v>4.1</v>
      </c>
      <c r="AA6" s="16">
        <v>3.85</v>
      </c>
      <c r="AB6" s="16"/>
      <c r="AC6" s="16"/>
      <c r="AD6" s="16"/>
    </row>
    <row r="7">
      <c r="A7" s="2" t="s">
        <v>24</v>
      </c>
      <c r="B7" s="16">
        <v>2.3</v>
      </c>
      <c r="C7" s="16">
        <v>2.4</v>
      </c>
      <c r="D7" s="16">
        <v>2.45</v>
      </c>
      <c r="E7" s="22" t="s">
        <v>197</v>
      </c>
      <c r="F7" s="22" t="s">
        <v>199</v>
      </c>
      <c r="L7" s="1" t="s">
        <v>413</v>
      </c>
      <c r="M7" s="16">
        <v>2.45</v>
      </c>
      <c r="N7" s="16">
        <v>2.95</v>
      </c>
      <c r="O7" s="16">
        <v>2.625</v>
      </c>
      <c r="P7" s="16">
        <v>2.625</v>
      </c>
      <c r="Q7" s="16">
        <v>3.85</v>
      </c>
      <c r="R7" s="16">
        <v>3.475</v>
      </c>
      <c r="S7" s="16">
        <v>3.475</v>
      </c>
      <c r="T7" s="16">
        <v>3.525</v>
      </c>
      <c r="U7" s="16">
        <v>4.15</v>
      </c>
      <c r="V7" s="16">
        <v>4.225</v>
      </c>
      <c r="W7" s="16">
        <v>3.45</v>
      </c>
      <c r="X7" s="16">
        <v>3.8</v>
      </c>
      <c r="Y7" s="16">
        <v>4.075</v>
      </c>
      <c r="Z7" s="16">
        <v>4.3</v>
      </c>
      <c r="AA7" s="16">
        <v>4.0</v>
      </c>
      <c r="AB7" s="16"/>
      <c r="AC7" s="16"/>
      <c r="AD7" s="16"/>
    </row>
    <row r="8">
      <c r="A8" s="2" t="s">
        <v>25</v>
      </c>
      <c r="B8" s="16">
        <v>2.55</v>
      </c>
      <c r="C8" s="16">
        <v>2.675</v>
      </c>
      <c r="D8" s="16">
        <v>2.625</v>
      </c>
      <c r="E8" s="22" t="s">
        <v>197</v>
      </c>
      <c r="F8" s="22" t="s">
        <v>215</v>
      </c>
      <c r="L8" s="1" t="s">
        <v>408</v>
      </c>
      <c r="M8" s="4">
        <v>575.0</v>
      </c>
      <c r="N8" s="4">
        <v>600.0</v>
      </c>
      <c r="O8" s="4">
        <v>607.0</v>
      </c>
      <c r="P8" s="4">
        <v>601.0</v>
      </c>
      <c r="Q8" s="4">
        <v>575.0</v>
      </c>
      <c r="R8" s="4">
        <v>570.0</v>
      </c>
      <c r="S8" s="4">
        <v>609.0</v>
      </c>
      <c r="T8" s="4">
        <v>659.0</v>
      </c>
      <c r="U8" s="4">
        <v>687.0</v>
      </c>
      <c r="V8" s="4">
        <v>670.0</v>
      </c>
      <c r="W8" s="4">
        <v>622.0</v>
      </c>
      <c r="X8" s="4">
        <v>635.0</v>
      </c>
      <c r="Y8" s="4">
        <v>693.0</v>
      </c>
      <c r="Z8" s="4">
        <v>698.0</v>
      </c>
      <c r="AA8" s="4">
        <v>699.0</v>
      </c>
      <c r="AB8" s="4"/>
      <c r="AC8" s="4"/>
      <c r="AD8" s="4"/>
    </row>
    <row r="9">
      <c r="A9" s="2" t="s">
        <v>20</v>
      </c>
      <c r="B9" s="16">
        <v>2.525</v>
      </c>
      <c r="C9" s="16">
        <v>2.55</v>
      </c>
      <c r="D9" s="16">
        <v>2.625</v>
      </c>
      <c r="E9" s="22" t="s">
        <v>210</v>
      </c>
      <c r="F9" s="22" t="s">
        <v>228</v>
      </c>
      <c r="L9" s="1" t="s">
        <v>412</v>
      </c>
      <c r="M9" s="16">
        <v>599.0</v>
      </c>
      <c r="N9" s="16">
        <v>620.0</v>
      </c>
      <c r="O9" s="16">
        <v>615.0</v>
      </c>
      <c r="P9" s="16">
        <v>599.0</v>
      </c>
      <c r="Q9" s="16">
        <v>669.0</v>
      </c>
      <c r="R9" s="16">
        <v>687.0</v>
      </c>
      <c r="S9" s="16">
        <v>675.0</v>
      </c>
      <c r="T9" s="16">
        <v>749.0</v>
      </c>
      <c r="U9" s="16">
        <v>734.0</v>
      </c>
      <c r="V9" s="16">
        <v>677.0</v>
      </c>
      <c r="W9" s="16">
        <v>669.0</v>
      </c>
      <c r="X9" s="16">
        <v>690.0</v>
      </c>
      <c r="Y9" s="16">
        <v>700.0</v>
      </c>
      <c r="Z9" s="16">
        <v>723.0</v>
      </c>
      <c r="AA9" s="16">
        <v>739.0</v>
      </c>
      <c r="AB9" s="16"/>
      <c r="AC9" s="16"/>
      <c r="AD9" s="16"/>
    </row>
    <row r="10">
      <c r="A10" s="2" t="s">
        <v>32</v>
      </c>
      <c r="B10" s="16">
        <v>2.6</v>
      </c>
      <c r="C10" s="16">
        <v>3.725</v>
      </c>
      <c r="D10" s="16">
        <v>3.85</v>
      </c>
      <c r="E10" s="22" t="s">
        <v>184</v>
      </c>
      <c r="F10" s="22" t="s">
        <v>63</v>
      </c>
      <c r="L10" s="1" t="s">
        <v>413</v>
      </c>
      <c r="M10" s="16">
        <v>615.0</v>
      </c>
      <c r="N10" s="16">
        <v>630.0</v>
      </c>
      <c r="O10" s="16">
        <v>635.0</v>
      </c>
      <c r="P10" s="16">
        <v>597.0</v>
      </c>
      <c r="Q10" s="16">
        <v>679.0</v>
      </c>
      <c r="R10" s="16">
        <v>702.0</v>
      </c>
      <c r="S10" s="16">
        <v>715.0</v>
      </c>
      <c r="T10" s="16">
        <v>656.0</v>
      </c>
      <c r="U10" s="16">
        <v>734.0</v>
      </c>
      <c r="V10" s="16">
        <v>700.0</v>
      </c>
      <c r="W10" s="16">
        <v>669.0</v>
      </c>
      <c r="X10" s="16">
        <v>690.0</v>
      </c>
      <c r="Y10" s="16">
        <v>724.0</v>
      </c>
      <c r="Z10" s="16">
        <v>777.0</v>
      </c>
      <c r="AA10" s="16">
        <v>718.0</v>
      </c>
      <c r="AB10" s="16"/>
      <c r="AC10" s="16"/>
      <c r="AD10" s="16"/>
    </row>
    <row r="11">
      <c r="A11" s="2" t="s">
        <v>31</v>
      </c>
      <c r="B11" s="16">
        <v>3.375</v>
      </c>
      <c r="C11" s="16">
        <v>3.475</v>
      </c>
      <c r="D11" s="16">
        <v>4.225</v>
      </c>
      <c r="E11" s="22" t="s">
        <v>159</v>
      </c>
      <c r="F11" s="22" t="s">
        <v>243</v>
      </c>
    </row>
    <row r="12">
      <c r="A12" s="2" t="s">
        <v>30</v>
      </c>
      <c r="B12" s="16">
        <v>3.3</v>
      </c>
      <c r="C12" s="16">
        <v>3.35</v>
      </c>
      <c r="D12" s="16">
        <v>3.475</v>
      </c>
      <c r="E12" s="22" t="s">
        <v>178</v>
      </c>
      <c r="F12" s="22" t="s">
        <v>252</v>
      </c>
    </row>
    <row r="13">
      <c r="A13" s="2" t="s">
        <v>28</v>
      </c>
      <c r="B13" s="16">
        <v>2.975</v>
      </c>
      <c r="C13" s="16">
        <v>3.4</v>
      </c>
      <c r="D13" s="16">
        <v>3.475</v>
      </c>
      <c r="E13" s="22" t="s">
        <v>208</v>
      </c>
      <c r="F13" s="22" t="s">
        <v>206</v>
      </c>
    </row>
    <row r="14">
      <c r="A14" s="2" t="s">
        <v>23</v>
      </c>
      <c r="B14" s="16">
        <v>3.8</v>
      </c>
      <c r="C14" s="16">
        <v>4.1</v>
      </c>
      <c r="D14" s="16">
        <v>4.3</v>
      </c>
      <c r="E14" s="22" t="s">
        <v>190</v>
      </c>
      <c r="F14" s="22" t="s">
        <v>224</v>
      </c>
    </row>
    <row r="15">
      <c r="A15" s="2" t="s">
        <v>16</v>
      </c>
      <c r="B15" s="16">
        <v>2.425</v>
      </c>
      <c r="C15" s="16">
        <v>2.95</v>
      </c>
      <c r="D15" s="16">
        <v>2.95</v>
      </c>
      <c r="E15" s="22" t="s">
        <v>192</v>
      </c>
      <c r="F15" s="22" t="s">
        <v>239</v>
      </c>
    </row>
    <row r="16">
      <c r="A16" s="2" t="s">
        <v>22</v>
      </c>
      <c r="B16" s="16">
        <v>3.525</v>
      </c>
      <c r="C16" s="16">
        <v>3.775</v>
      </c>
      <c r="D16" s="16">
        <v>3.8</v>
      </c>
      <c r="E16" s="22" t="s">
        <v>201</v>
      </c>
      <c r="F16" s="22" t="s">
        <v>190</v>
      </c>
      <c r="X16" s="1" t="s">
        <v>0</v>
      </c>
      <c r="Y16" s="1" t="s">
        <v>408</v>
      </c>
      <c r="Z16" s="1" t="s">
        <v>412</v>
      </c>
      <c r="AA16" s="1" t="s">
        <v>413</v>
      </c>
      <c r="AB16" s="1" t="s">
        <v>408</v>
      </c>
      <c r="AC16" s="1" t="s">
        <v>412</v>
      </c>
      <c r="AD16" s="1" t="s">
        <v>413</v>
      </c>
    </row>
    <row r="17">
      <c r="X17" s="2" t="s">
        <v>24</v>
      </c>
      <c r="Y17" s="16">
        <v>2.3</v>
      </c>
      <c r="Z17" s="16">
        <v>2.4</v>
      </c>
      <c r="AA17" s="16">
        <v>2.45</v>
      </c>
      <c r="AB17" s="4">
        <v>575.0</v>
      </c>
      <c r="AC17" s="16">
        <v>599.0</v>
      </c>
      <c r="AD17" s="16">
        <v>615.0</v>
      </c>
    </row>
    <row r="18">
      <c r="X18" s="2" t="s">
        <v>16</v>
      </c>
      <c r="Y18" s="16">
        <v>2.425</v>
      </c>
      <c r="Z18" s="16">
        <v>2.95</v>
      </c>
      <c r="AA18" s="16">
        <v>2.95</v>
      </c>
      <c r="AB18" s="4">
        <v>600.0</v>
      </c>
      <c r="AC18" s="16">
        <v>620.0</v>
      </c>
      <c r="AD18" s="16">
        <v>630.0</v>
      </c>
    </row>
    <row r="19">
      <c r="A19" s="1" t="s">
        <v>0</v>
      </c>
      <c r="B19" s="1" t="s">
        <v>5</v>
      </c>
      <c r="X19" s="2" t="s">
        <v>20</v>
      </c>
      <c r="Y19" s="16">
        <v>2.525</v>
      </c>
      <c r="Z19" s="16">
        <v>2.55</v>
      </c>
      <c r="AA19" s="16">
        <v>2.625</v>
      </c>
      <c r="AB19" s="4">
        <v>607.0</v>
      </c>
      <c r="AC19" s="16">
        <v>615.0</v>
      </c>
      <c r="AD19" s="16">
        <v>635.0</v>
      </c>
    </row>
    <row r="20">
      <c r="A20" s="2" t="s">
        <v>33</v>
      </c>
      <c r="B20" s="3" t="s">
        <v>43</v>
      </c>
      <c r="C20" s="16">
        <v>734.0</v>
      </c>
      <c r="D20" s="22" t="s">
        <v>414</v>
      </c>
      <c r="E20" s="22" t="s">
        <v>414</v>
      </c>
      <c r="F20" s="22" t="s">
        <v>414</v>
      </c>
      <c r="G20" s="22" t="s">
        <v>415</v>
      </c>
      <c r="X20" s="2" t="s">
        <v>25</v>
      </c>
      <c r="Y20" s="16">
        <v>2.55</v>
      </c>
      <c r="Z20" s="16">
        <v>2.675</v>
      </c>
      <c r="AA20" s="16">
        <v>2.625</v>
      </c>
      <c r="AB20" s="4">
        <v>601.0</v>
      </c>
      <c r="AC20" s="16">
        <v>599.0</v>
      </c>
      <c r="AD20" s="16">
        <v>597.0</v>
      </c>
    </row>
    <row r="21">
      <c r="A21" s="2" t="s">
        <v>26</v>
      </c>
      <c r="B21" s="3" t="s">
        <v>40</v>
      </c>
      <c r="C21" s="16">
        <v>739.0</v>
      </c>
      <c r="D21" s="22" t="s">
        <v>416</v>
      </c>
      <c r="E21" s="22" t="s">
        <v>64</v>
      </c>
      <c r="F21" s="22" t="s">
        <v>417</v>
      </c>
      <c r="G21" s="22" t="s">
        <v>418</v>
      </c>
      <c r="X21" s="2" t="s">
        <v>32</v>
      </c>
      <c r="Y21" s="16">
        <v>2.6</v>
      </c>
      <c r="Z21" s="16">
        <v>3.725</v>
      </c>
      <c r="AA21" s="16">
        <v>3.85</v>
      </c>
      <c r="AB21" s="4">
        <v>575.0</v>
      </c>
      <c r="AC21" s="16">
        <v>669.0</v>
      </c>
      <c r="AD21" s="16">
        <v>679.0</v>
      </c>
    </row>
    <row r="22">
      <c r="A22" s="2" t="s">
        <v>12</v>
      </c>
      <c r="B22" s="3" t="s">
        <v>52</v>
      </c>
      <c r="C22" s="16">
        <v>700.0</v>
      </c>
      <c r="D22" s="22" t="s">
        <v>419</v>
      </c>
      <c r="E22" s="22" t="s">
        <v>419</v>
      </c>
      <c r="F22" s="22" t="s">
        <v>40</v>
      </c>
      <c r="G22" s="22" t="s">
        <v>420</v>
      </c>
      <c r="X22" s="2" t="s">
        <v>28</v>
      </c>
      <c r="Y22" s="16">
        <v>2.975</v>
      </c>
      <c r="Z22" s="16">
        <v>3.4</v>
      </c>
      <c r="AA22" s="16">
        <v>3.475</v>
      </c>
      <c r="AB22" s="4">
        <v>570.0</v>
      </c>
      <c r="AC22" s="16">
        <v>687.0</v>
      </c>
      <c r="AD22" s="16">
        <v>702.0</v>
      </c>
    </row>
    <row r="23">
      <c r="A23" s="2" t="s">
        <v>29</v>
      </c>
      <c r="B23" s="3" t="s">
        <v>55</v>
      </c>
      <c r="C23" s="16">
        <v>669.0</v>
      </c>
      <c r="D23" s="22" t="s">
        <v>421</v>
      </c>
      <c r="E23" s="22" t="s">
        <v>421</v>
      </c>
      <c r="F23" s="22" t="s">
        <v>421</v>
      </c>
      <c r="G23" s="22" t="s">
        <v>421</v>
      </c>
      <c r="X23" s="2" t="s">
        <v>30</v>
      </c>
      <c r="Y23" s="16">
        <v>3.3</v>
      </c>
      <c r="Z23" s="16">
        <v>3.35</v>
      </c>
      <c r="AA23" s="16">
        <v>3.475</v>
      </c>
      <c r="AB23" s="4">
        <v>609.0</v>
      </c>
      <c r="AC23" s="16">
        <v>675.0</v>
      </c>
      <c r="AD23" s="16">
        <v>715.0</v>
      </c>
    </row>
    <row r="24">
      <c r="A24" s="2" t="s">
        <v>27</v>
      </c>
      <c r="B24" s="3" t="s">
        <v>46</v>
      </c>
      <c r="C24" s="16">
        <v>749.0</v>
      </c>
      <c r="D24" s="22" t="s">
        <v>422</v>
      </c>
      <c r="E24" s="22" t="s">
        <v>423</v>
      </c>
      <c r="F24" s="22" t="s">
        <v>423</v>
      </c>
      <c r="G24" s="22" t="s">
        <v>423</v>
      </c>
      <c r="X24" s="2" t="s">
        <v>27</v>
      </c>
      <c r="Y24" s="16">
        <v>3.35</v>
      </c>
      <c r="Z24" s="16">
        <v>3.225</v>
      </c>
      <c r="AA24" s="16">
        <v>3.525</v>
      </c>
      <c r="AB24" s="4">
        <v>659.0</v>
      </c>
      <c r="AC24" s="16">
        <v>749.0</v>
      </c>
      <c r="AD24" s="16">
        <v>656.0</v>
      </c>
    </row>
    <row r="25">
      <c r="A25" s="2" t="s">
        <v>24</v>
      </c>
      <c r="B25" s="3" t="s">
        <v>58</v>
      </c>
      <c r="C25" s="16">
        <v>599.0</v>
      </c>
      <c r="D25" s="22" t="s">
        <v>424</v>
      </c>
      <c r="E25" s="22" t="s">
        <v>425</v>
      </c>
      <c r="F25" s="22" t="s">
        <v>425</v>
      </c>
      <c r="G25" s="22" t="s">
        <v>425</v>
      </c>
      <c r="X25" s="2" t="s">
        <v>33</v>
      </c>
      <c r="Y25" s="16">
        <v>3.375</v>
      </c>
      <c r="Z25" s="16">
        <v>4.125</v>
      </c>
      <c r="AA25" s="16">
        <v>4.15</v>
      </c>
      <c r="AB25" s="4">
        <v>687.0</v>
      </c>
      <c r="AC25" s="16">
        <v>734.0</v>
      </c>
      <c r="AD25" s="16">
        <v>734.0</v>
      </c>
    </row>
    <row r="26">
      <c r="A26" s="2" t="s">
        <v>25</v>
      </c>
      <c r="B26" s="3" t="s">
        <v>79</v>
      </c>
      <c r="C26" s="16">
        <v>599.0</v>
      </c>
      <c r="D26" s="22" t="s">
        <v>426</v>
      </c>
      <c r="E26" s="22" t="s">
        <v>427</v>
      </c>
      <c r="F26" s="22" t="s">
        <v>427</v>
      </c>
      <c r="G26" s="22" t="s">
        <v>424</v>
      </c>
      <c r="X26" s="2" t="s">
        <v>31</v>
      </c>
      <c r="Y26" s="16">
        <v>3.375</v>
      </c>
      <c r="Z26" s="16">
        <v>3.475</v>
      </c>
      <c r="AA26" s="16">
        <v>4.225</v>
      </c>
      <c r="AB26" s="4">
        <v>670.0</v>
      </c>
      <c r="AC26" s="16">
        <v>677.0</v>
      </c>
      <c r="AD26" s="16">
        <v>700.0</v>
      </c>
    </row>
    <row r="27">
      <c r="A27" s="2" t="s">
        <v>20</v>
      </c>
      <c r="B27" s="3" t="s">
        <v>61</v>
      </c>
      <c r="C27" s="16">
        <v>615.0</v>
      </c>
      <c r="D27" s="22" t="s">
        <v>67</v>
      </c>
      <c r="E27" s="22" t="s">
        <v>428</v>
      </c>
      <c r="F27" s="22" t="s">
        <v>429</v>
      </c>
      <c r="G27" s="22" t="s">
        <v>430</v>
      </c>
      <c r="X27" s="2" t="s">
        <v>29</v>
      </c>
      <c r="Y27" s="16">
        <v>3.425</v>
      </c>
      <c r="Z27" s="16">
        <v>3.5</v>
      </c>
      <c r="AA27" s="16">
        <v>3.45</v>
      </c>
      <c r="AB27" s="4">
        <v>622.0</v>
      </c>
      <c r="AC27" s="16">
        <v>669.0</v>
      </c>
      <c r="AD27" s="16">
        <v>669.0</v>
      </c>
    </row>
    <row r="28">
      <c r="A28" s="2" t="s">
        <v>32</v>
      </c>
      <c r="B28" s="3" t="s">
        <v>58</v>
      </c>
      <c r="C28" s="16">
        <v>669.0</v>
      </c>
      <c r="D28" s="22" t="s">
        <v>431</v>
      </c>
      <c r="E28" s="22" t="s">
        <v>431</v>
      </c>
      <c r="F28" s="22" t="s">
        <v>432</v>
      </c>
      <c r="G28" s="22" t="s">
        <v>432</v>
      </c>
      <c r="X28" s="2" t="s">
        <v>22</v>
      </c>
      <c r="Y28" s="16">
        <v>3.525</v>
      </c>
      <c r="Z28" s="16">
        <v>3.775</v>
      </c>
      <c r="AA28" s="16">
        <v>3.8</v>
      </c>
      <c r="AB28" s="4">
        <v>635.0</v>
      </c>
      <c r="AC28" s="16">
        <v>690.0</v>
      </c>
      <c r="AD28" s="16">
        <v>690.0</v>
      </c>
    </row>
    <row r="29">
      <c r="A29" s="2" t="s">
        <v>31</v>
      </c>
      <c r="B29" s="3" t="s">
        <v>73</v>
      </c>
      <c r="C29" s="16">
        <v>677.0</v>
      </c>
      <c r="D29" s="22" t="s">
        <v>433</v>
      </c>
      <c r="E29" s="22" t="s">
        <v>433</v>
      </c>
      <c r="F29" s="22" t="s">
        <v>434</v>
      </c>
      <c r="G29" s="22" t="s">
        <v>49</v>
      </c>
      <c r="X29" s="2" t="s">
        <v>12</v>
      </c>
      <c r="Y29" s="16">
        <v>3.625</v>
      </c>
      <c r="Z29" s="16">
        <v>3.775</v>
      </c>
      <c r="AA29" s="16">
        <v>4.075</v>
      </c>
      <c r="AB29" s="4">
        <v>693.0</v>
      </c>
      <c r="AC29" s="16">
        <v>700.0</v>
      </c>
      <c r="AD29" s="16">
        <v>724.0</v>
      </c>
    </row>
    <row r="30">
      <c r="A30" s="2" t="s">
        <v>30</v>
      </c>
      <c r="B30" s="3" t="s">
        <v>49</v>
      </c>
      <c r="C30" s="16">
        <v>675.0</v>
      </c>
      <c r="D30" s="22" t="s">
        <v>435</v>
      </c>
      <c r="E30" s="22" t="s">
        <v>436</v>
      </c>
      <c r="F30" s="22" t="s">
        <v>433</v>
      </c>
      <c r="G30" s="22" t="s">
        <v>434</v>
      </c>
      <c r="X30" s="2" t="s">
        <v>23</v>
      </c>
      <c r="Y30" s="16">
        <v>3.8</v>
      </c>
      <c r="Z30" s="16">
        <v>4.1</v>
      </c>
      <c r="AA30" s="16">
        <v>4.3</v>
      </c>
      <c r="AB30" s="4">
        <v>698.0</v>
      </c>
      <c r="AC30" s="16">
        <v>723.0</v>
      </c>
      <c r="AD30" s="16">
        <v>777.0</v>
      </c>
    </row>
    <row r="31">
      <c r="A31" s="2" t="s">
        <v>28</v>
      </c>
      <c r="B31" s="3" t="s">
        <v>71</v>
      </c>
      <c r="C31" s="16">
        <v>687.0</v>
      </c>
      <c r="D31" s="22" t="s">
        <v>437</v>
      </c>
      <c r="E31" s="22" t="s">
        <v>73</v>
      </c>
      <c r="F31" s="22" t="s">
        <v>418</v>
      </c>
      <c r="G31" s="22" t="s">
        <v>433</v>
      </c>
      <c r="X31" s="2" t="s">
        <v>26</v>
      </c>
      <c r="Y31" s="16">
        <v>3.825</v>
      </c>
      <c r="Z31" s="16">
        <v>3.85</v>
      </c>
      <c r="AA31" s="16">
        <v>4.0</v>
      </c>
      <c r="AB31" s="4">
        <v>699.0</v>
      </c>
      <c r="AC31" s="16">
        <v>739.0</v>
      </c>
      <c r="AD31" s="16">
        <v>718.0</v>
      </c>
    </row>
    <row r="32">
      <c r="A32" s="2" t="s">
        <v>23</v>
      </c>
      <c r="B32" s="3" t="s">
        <v>64</v>
      </c>
      <c r="C32" s="16">
        <v>723.0</v>
      </c>
      <c r="D32" s="22" t="s">
        <v>438</v>
      </c>
      <c r="E32" s="22" t="s">
        <v>439</v>
      </c>
      <c r="F32" s="22" t="s">
        <v>440</v>
      </c>
      <c r="G32" s="22" t="s">
        <v>418</v>
      </c>
    </row>
    <row r="33">
      <c r="A33" s="2" t="s">
        <v>16</v>
      </c>
      <c r="B33" s="3" t="s">
        <v>76</v>
      </c>
      <c r="C33" s="16">
        <v>620.0</v>
      </c>
      <c r="D33" s="22" t="s">
        <v>441</v>
      </c>
      <c r="E33" s="22" t="s">
        <v>441</v>
      </c>
      <c r="F33" s="22" t="s">
        <v>441</v>
      </c>
      <c r="G33" s="22" t="s">
        <v>440</v>
      </c>
    </row>
    <row r="34">
      <c r="A34" s="2" t="s">
        <v>22</v>
      </c>
      <c r="B34" s="3" t="s">
        <v>67</v>
      </c>
      <c r="C34" s="16">
        <v>690.0</v>
      </c>
      <c r="D34" s="22" t="s">
        <v>442</v>
      </c>
      <c r="E34" s="22" t="s">
        <v>442</v>
      </c>
      <c r="F34" s="22" t="s">
        <v>442</v>
      </c>
      <c r="G34" s="22" t="s">
        <v>443</v>
      </c>
    </row>
    <row r="36">
      <c r="A36" s="22" t="s">
        <v>33</v>
      </c>
      <c r="B36" s="22" t="s">
        <v>115</v>
      </c>
      <c r="C36" s="22" t="s">
        <v>13</v>
      </c>
      <c r="D36" s="22" t="s">
        <v>38</v>
      </c>
      <c r="E36" s="22" t="s">
        <v>38</v>
      </c>
      <c r="F36" s="22" t="s">
        <v>136</v>
      </c>
      <c r="G36" s="22" t="s">
        <v>15</v>
      </c>
      <c r="H36" s="22" t="s">
        <v>169</v>
      </c>
      <c r="I36" s="21">
        <v>46.0</v>
      </c>
      <c r="J36" s="22" t="s">
        <v>281</v>
      </c>
      <c r="K36" s="22" t="str">
        <f t="shared" ref="K36:K44" si="1">SUBSTITUTE(J36," CAD","")</f>
        <v>$689.00</v>
      </c>
      <c r="L36" s="22" t="str">
        <f t="shared" ref="L36:L50" si="2">SUBSTITUTE(K36,"$", "")</f>
        <v>689.00</v>
      </c>
    </row>
    <row r="37">
      <c r="A37" s="22" t="s">
        <v>26</v>
      </c>
      <c r="B37" s="22" t="s">
        <v>115</v>
      </c>
      <c r="C37" s="22" t="s">
        <v>13</v>
      </c>
      <c r="D37" s="22" t="s">
        <v>38</v>
      </c>
      <c r="E37" s="22" t="s">
        <v>38</v>
      </c>
      <c r="F37" s="22" t="s">
        <v>136</v>
      </c>
      <c r="G37" s="22" t="s">
        <v>15</v>
      </c>
      <c r="H37" s="22" t="s">
        <v>268</v>
      </c>
      <c r="I37" s="21">
        <v>66.0</v>
      </c>
      <c r="J37" s="22" t="s">
        <v>246</v>
      </c>
      <c r="K37" s="22" t="str">
        <f t="shared" si="1"/>
        <v>$705.00</v>
      </c>
      <c r="L37" s="22" t="str">
        <f t="shared" si="2"/>
        <v>705.00</v>
      </c>
    </row>
    <row r="38">
      <c r="A38" s="22" t="s">
        <v>12</v>
      </c>
      <c r="B38" s="22" t="s">
        <v>115</v>
      </c>
      <c r="C38" s="22" t="s">
        <v>13</v>
      </c>
      <c r="D38" s="22" t="s">
        <v>38</v>
      </c>
      <c r="E38" s="22" t="s">
        <v>38</v>
      </c>
      <c r="F38" s="22" t="s">
        <v>14</v>
      </c>
      <c r="G38" s="22" t="s">
        <v>15</v>
      </c>
      <c r="H38" s="22" t="s">
        <v>165</v>
      </c>
      <c r="I38" s="21">
        <v>61.0</v>
      </c>
      <c r="J38" s="22" t="s">
        <v>270</v>
      </c>
      <c r="K38" s="22" t="str">
        <f t="shared" si="1"/>
        <v>$652.00</v>
      </c>
      <c r="L38" s="22" t="str">
        <f t="shared" si="2"/>
        <v>652.00</v>
      </c>
    </row>
    <row r="39">
      <c r="A39" s="22" t="s">
        <v>29</v>
      </c>
      <c r="B39" s="22" t="s">
        <v>115</v>
      </c>
      <c r="C39" s="22" t="s">
        <v>13</v>
      </c>
      <c r="D39" s="22" t="s">
        <v>38</v>
      </c>
      <c r="E39" s="22" t="s">
        <v>38</v>
      </c>
      <c r="F39" s="22" t="s">
        <v>14</v>
      </c>
      <c r="G39" s="22" t="s">
        <v>19</v>
      </c>
      <c r="H39" s="22" t="s">
        <v>259</v>
      </c>
      <c r="I39" s="21">
        <v>55.0</v>
      </c>
      <c r="J39" s="22" t="s">
        <v>213</v>
      </c>
      <c r="K39" s="22" t="str">
        <f t="shared" si="1"/>
        <v>$669.00</v>
      </c>
      <c r="L39" s="22" t="str">
        <f t="shared" si="2"/>
        <v>669.00</v>
      </c>
    </row>
    <row r="40">
      <c r="A40" s="22" t="s">
        <v>27</v>
      </c>
      <c r="B40" s="22" t="s">
        <v>115</v>
      </c>
      <c r="C40" s="22" t="s">
        <v>13</v>
      </c>
      <c r="D40" s="22" t="s">
        <v>38</v>
      </c>
      <c r="E40" s="22" t="s">
        <v>38</v>
      </c>
      <c r="F40" s="22" t="s">
        <v>14</v>
      </c>
      <c r="G40" s="22" t="s">
        <v>15</v>
      </c>
      <c r="H40" s="22" t="s">
        <v>66</v>
      </c>
      <c r="I40" s="21">
        <v>40.0</v>
      </c>
      <c r="J40" s="22" t="s">
        <v>247</v>
      </c>
      <c r="K40" s="22" t="str">
        <f t="shared" si="1"/>
        <v>$660.00</v>
      </c>
      <c r="L40" s="22" t="str">
        <f t="shared" si="2"/>
        <v>660.00</v>
      </c>
    </row>
    <row r="41">
      <c r="A41" s="22" t="s">
        <v>24</v>
      </c>
      <c r="B41" s="22" t="s">
        <v>115</v>
      </c>
      <c r="C41" s="22" t="s">
        <v>17</v>
      </c>
      <c r="D41" s="22" t="s">
        <v>38</v>
      </c>
      <c r="E41" s="22" t="s">
        <v>38</v>
      </c>
      <c r="F41" s="22" t="s">
        <v>14</v>
      </c>
      <c r="G41" s="22" t="s">
        <v>21</v>
      </c>
      <c r="H41" s="22" t="s">
        <v>199</v>
      </c>
      <c r="I41" s="21">
        <v>51.0</v>
      </c>
      <c r="J41" s="22" t="s">
        <v>250</v>
      </c>
      <c r="K41" s="22" t="str">
        <f t="shared" si="1"/>
        <v>$645.00</v>
      </c>
      <c r="L41" s="22" t="str">
        <f t="shared" si="2"/>
        <v>645.00</v>
      </c>
    </row>
    <row r="42">
      <c r="A42" s="22" t="s">
        <v>25</v>
      </c>
      <c r="B42" s="22" t="s">
        <v>115</v>
      </c>
      <c r="C42" s="22" t="s">
        <v>17</v>
      </c>
      <c r="D42" s="22" t="s">
        <v>38</v>
      </c>
      <c r="E42" s="22" t="s">
        <v>38</v>
      </c>
      <c r="F42" s="22" t="s">
        <v>18</v>
      </c>
      <c r="G42" s="22" t="s">
        <v>21</v>
      </c>
      <c r="H42" s="22" t="s">
        <v>261</v>
      </c>
      <c r="I42" s="21">
        <v>55.0</v>
      </c>
      <c r="J42" s="22" t="s">
        <v>262</v>
      </c>
      <c r="K42" s="22" t="str">
        <f t="shared" si="1"/>
        <v>$615.00</v>
      </c>
      <c r="L42" s="22" t="str">
        <f t="shared" si="2"/>
        <v>615.00</v>
      </c>
    </row>
    <row r="43">
      <c r="A43" s="22" t="s">
        <v>20</v>
      </c>
      <c r="B43" s="22" t="s">
        <v>115</v>
      </c>
      <c r="C43" s="22" t="s">
        <v>17</v>
      </c>
      <c r="D43" s="22" t="s">
        <v>38</v>
      </c>
      <c r="E43" s="22" t="s">
        <v>38</v>
      </c>
      <c r="F43" s="22" t="s">
        <v>14</v>
      </c>
      <c r="G43" s="22" t="s">
        <v>21</v>
      </c>
      <c r="H43" s="22" t="s">
        <v>278</v>
      </c>
      <c r="I43" s="21">
        <v>48.0</v>
      </c>
      <c r="J43" s="22" t="s">
        <v>279</v>
      </c>
      <c r="K43" s="22" t="str">
        <f t="shared" si="1"/>
        <v>$613.00</v>
      </c>
      <c r="L43" s="22" t="str">
        <f t="shared" si="2"/>
        <v>613.00</v>
      </c>
    </row>
    <row r="44">
      <c r="A44" s="22" t="s">
        <v>32</v>
      </c>
      <c r="B44" s="22" t="s">
        <v>115</v>
      </c>
      <c r="C44" s="22" t="s">
        <v>13</v>
      </c>
      <c r="D44" s="22" t="s">
        <v>38</v>
      </c>
      <c r="E44" s="22" t="s">
        <v>38</v>
      </c>
      <c r="F44" s="22" t="s">
        <v>14</v>
      </c>
      <c r="G44" s="22" t="s">
        <v>15</v>
      </c>
      <c r="H44" s="22" t="s">
        <v>39</v>
      </c>
      <c r="I44" s="21">
        <v>56.0</v>
      </c>
      <c r="J44" s="22" t="s">
        <v>258</v>
      </c>
      <c r="K44" s="22" t="str">
        <f t="shared" si="1"/>
        <v>$695.00</v>
      </c>
      <c r="L44" s="22" t="str">
        <f t="shared" si="2"/>
        <v>695.00</v>
      </c>
    </row>
    <row r="45">
      <c r="A45" s="22" t="s">
        <v>31</v>
      </c>
      <c r="B45" s="22" t="s">
        <v>115</v>
      </c>
      <c r="C45" s="22" t="s">
        <v>13</v>
      </c>
      <c r="D45" s="22" t="s">
        <v>38</v>
      </c>
      <c r="E45" s="22" t="s">
        <v>38</v>
      </c>
      <c r="F45" s="22" t="s">
        <v>136</v>
      </c>
      <c r="G45" s="22" t="s">
        <v>158</v>
      </c>
      <c r="H45" s="22" t="s">
        <v>243</v>
      </c>
      <c r="I45" s="21">
        <v>53.0</v>
      </c>
      <c r="J45" s="22" t="s">
        <v>244</v>
      </c>
      <c r="K45" s="22" t="str">
        <f>SUBSTITUTE(#REF!," CAD","")</f>
        <v>#REF!</v>
      </c>
      <c r="L45" s="22" t="str">
        <f t="shared" si="2"/>
        <v>#REF!</v>
      </c>
    </row>
    <row r="46">
      <c r="A46" s="22" t="s">
        <v>30</v>
      </c>
      <c r="B46" s="22" t="s">
        <v>115</v>
      </c>
      <c r="C46" s="22" t="s">
        <v>13</v>
      </c>
      <c r="D46" s="22" t="s">
        <v>38</v>
      </c>
      <c r="E46" s="22" t="s">
        <v>38</v>
      </c>
      <c r="F46" s="22" t="s">
        <v>136</v>
      </c>
      <c r="G46" s="22" t="s">
        <v>137</v>
      </c>
      <c r="H46" s="22" t="s">
        <v>212</v>
      </c>
      <c r="I46" s="21">
        <v>44.0</v>
      </c>
      <c r="J46" s="22" t="s">
        <v>253</v>
      </c>
      <c r="K46" s="22" t="str">
        <f t="shared" ref="K46:K50" si="3">SUBSTITUTE(J45," CAD","")</f>
        <v>$701.00</v>
      </c>
      <c r="L46" s="22" t="str">
        <f t="shared" si="2"/>
        <v>701.00</v>
      </c>
    </row>
    <row r="47">
      <c r="A47" s="22" t="s">
        <v>28</v>
      </c>
      <c r="B47" s="22" t="s">
        <v>115</v>
      </c>
      <c r="C47" s="22" t="s">
        <v>13</v>
      </c>
      <c r="D47" s="22" t="s">
        <v>38</v>
      </c>
      <c r="E47" s="22" t="s">
        <v>38</v>
      </c>
      <c r="F47" s="22" t="s">
        <v>136</v>
      </c>
      <c r="G47" s="22" t="s">
        <v>19</v>
      </c>
      <c r="H47" s="22" t="s">
        <v>286</v>
      </c>
      <c r="I47" s="21">
        <v>49.0</v>
      </c>
      <c r="J47" s="22" t="s">
        <v>246</v>
      </c>
      <c r="K47" s="22" t="str">
        <f t="shared" si="3"/>
        <v>$700.00</v>
      </c>
      <c r="L47" s="22" t="str">
        <f t="shared" si="2"/>
        <v>700.00</v>
      </c>
    </row>
    <row r="48">
      <c r="A48" s="22" t="s">
        <v>23</v>
      </c>
      <c r="B48" s="22" t="s">
        <v>115</v>
      </c>
      <c r="C48" s="22" t="s">
        <v>13</v>
      </c>
      <c r="D48" s="22" t="s">
        <v>38</v>
      </c>
      <c r="E48" s="22" t="s">
        <v>38</v>
      </c>
      <c r="F48" s="22" t="s">
        <v>136</v>
      </c>
      <c r="G48" s="22" t="s">
        <v>273</v>
      </c>
      <c r="H48" s="22" t="s">
        <v>274</v>
      </c>
      <c r="I48" s="21">
        <v>66.0</v>
      </c>
      <c r="J48" s="22" t="s">
        <v>225</v>
      </c>
      <c r="K48" s="22" t="str">
        <f t="shared" si="3"/>
        <v>$705.00</v>
      </c>
      <c r="L48" s="22" t="str">
        <f t="shared" si="2"/>
        <v>705.00</v>
      </c>
    </row>
    <row r="49">
      <c r="A49" s="22" t="s">
        <v>16</v>
      </c>
      <c r="B49" s="22" t="s">
        <v>115</v>
      </c>
      <c r="C49" s="22" t="s">
        <v>17</v>
      </c>
      <c r="D49" s="22" t="s">
        <v>38</v>
      </c>
      <c r="E49" s="22" t="s">
        <v>38</v>
      </c>
      <c r="F49" s="22" t="s">
        <v>136</v>
      </c>
      <c r="G49" s="22" t="s">
        <v>15</v>
      </c>
      <c r="H49" s="22" t="s">
        <v>154</v>
      </c>
      <c r="I49" s="21">
        <v>59.0</v>
      </c>
      <c r="J49" s="22" t="s">
        <v>282</v>
      </c>
      <c r="K49" s="22" t="str">
        <f t="shared" si="3"/>
        <v>$676.00</v>
      </c>
      <c r="L49" s="22" t="str">
        <f t="shared" si="2"/>
        <v>676.00</v>
      </c>
    </row>
    <row r="50">
      <c r="A50" s="22" t="s">
        <v>22</v>
      </c>
      <c r="B50" s="22" t="s">
        <v>115</v>
      </c>
      <c r="C50" s="22" t="s">
        <v>13</v>
      </c>
      <c r="D50" s="22" t="s">
        <v>38</v>
      </c>
      <c r="E50" s="22" t="s">
        <v>38</v>
      </c>
      <c r="F50" s="22" t="s">
        <v>14</v>
      </c>
      <c r="G50" s="22" t="s">
        <v>15</v>
      </c>
      <c r="H50" s="22" t="s">
        <v>165</v>
      </c>
      <c r="I50" s="21">
        <v>53.0</v>
      </c>
      <c r="J50" s="22" t="s">
        <v>220</v>
      </c>
      <c r="K50" s="22" t="str">
        <f t="shared" si="3"/>
        <v>$666.00</v>
      </c>
      <c r="L50" s="22" t="str">
        <f t="shared" si="2"/>
        <v>666.00</v>
      </c>
    </row>
    <row r="56">
      <c r="B56" s="16"/>
      <c r="C56" s="16"/>
    </row>
    <row r="57">
      <c r="B57" s="16"/>
      <c r="C57" s="16"/>
    </row>
    <row r="58">
      <c r="B58" s="16"/>
      <c r="C58" s="16"/>
    </row>
    <row r="59">
      <c r="B59" s="16"/>
      <c r="C59" s="16"/>
    </row>
    <row r="60">
      <c r="B60" s="16"/>
      <c r="C60" s="16"/>
    </row>
    <row r="61">
      <c r="B61" s="16"/>
      <c r="C61" s="16"/>
    </row>
    <row r="62">
      <c r="B62" s="16"/>
      <c r="C62" s="16"/>
    </row>
    <row r="63">
      <c r="B63" s="16"/>
      <c r="C63" s="16"/>
    </row>
    <row r="64">
      <c r="B64" s="16"/>
      <c r="C64" s="16"/>
    </row>
    <row r="65">
      <c r="B65" s="16"/>
      <c r="C65" s="16"/>
    </row>
    <row r="66">
      <c r="B66" s="16"/>
      <c r="C66" s="16"/>
    </row>
    <row r="67">
      <c r="B67" s="16"/>
      <c r="C67" s="16"/>
    </row>
    <row r="68">
      <c r="B68" s="16"/>
      <c r="C68" s="16"/>
    </row>
    <row r="69">
      <c r="B69" s="16"/>
      <c r="C69" s="16"/>
    </row>
    <row r="70">
      <c r="B70" s="16"/>
      <c r="C70" s="16"/>
    </row>
    <row r="71">
      <c r="C71" s="16"/>
    </row>
  </sheetData>
  <autoFilter ref="$X$16:$AD$31">
    <sortState ref="X16:AD31">
      <sortCondition ref="Y16:Y31"/>
    </sortState>
  </autoFil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444</v>
      </c>
      <c r="C1" s="1" t="s">
        <v>409</v>
      </c>
      <c r="D1" s="1" t="s">
        <v>410</v>
      </c>
      <c r="F1" s="1" t="s">
        <v>445</v>
      </c>
    </row>
    <row r="2">
      <c r="A2" s="2" t="s">
        <v>12</v>
      </c>
      <c r="B2" s="16">
        <f t="array" ref="B2">INDEX('Year 1'!$I$2:$I$16, MATCH(A2,'Year 1'!$A$2:$A$16,0))</f>
        <v>227057</v>
      </c>
      <c r="C2" s="24">
        <f t="array" ref="C2">INDEX('Year 2'!$L$2:$L$23, MATCH(A2,'Year 2'!$A$2:$A$23,0))</f>
        <v>185566</v>
      </c>
      <c r="D2" s="24">
        <f t="array" ref="D2">INDEX('Year 3'!$L$2:$L$29, MATCH(A2,'Year 3'!$A$2:$A$29,0))</f>
        <v>305771</v>
      </c>
      <c r="F2" s="16">
        <f t="shared" ref="F2:F16" si="1">SUM(B2:D2)</f>
        <v>718394</v>
      </c>
    </row>
    <row r="3">
      <c r="A3" s="2" t="s">
        <v>16</v>
      </c>
      <c r="B3" s="16">
        <f t="array" ref="B3">INDEX('Year 1'!$I$2:$I$16, MATCH(A3,'Year 1'!$A$2:$A$16,0))</f>
        <v>73818</v>
      </c>
      <c r="C3" s="24">
        <f t="array" ref="C3">INDEX('Year 2'!$L$2:$L$23, MATCH(A3,'Year 2'!$A$2:$A$23,0))</f>
        <v>212898</v>
      </c>
      <c r="D3" s="24">
        <f t="array" ref="D3">INDEX('Year 3'!$L$2:$L$29, MATCH(A3,'Year 3'!$A$2:$A$29,0))</f>
        <v>-352538</v>
      </c>
      <c r="F3" s="16">
        <f t="shared" si="1"/>
        <v>-65822</v>
      </c>
    </row>
    <row r="4">
      <c r="A4" s="2" t="s">
        <v>20</v>
      </c>
      <c r="B4" s="16">
        <f t="array" ref="B4">INDEX('Year 1'!$I$2:$I$16, MATCH(A4,'Year 1'!$A$2:$A$16,0))</f>
        <v>222319</v>
      </c>
      <c r="C4" s="24">
        <f t="array" ref="C4">INDEX('Year 2'!$L$2:$L$23, MATCH(A4,'Year 2'!$A$2:$A$23,0))</f>
        <v>346083</v>
      </c>
      <c r="D4" s="24">
        <f t="array" ref="D4">INDEX('Year 3'!$L$2:$L$29, MATCH(A4,'Year 3'!$A$2:$A$29,0))</f>
        <v>453153</v>
      </c>
      <c r="F4" s="16">
        <f t="shared" si="1"/>
        <v>1021555</v>
      </c>
    </row>
    <row r="5">
      <c r="A5" s="2" t="s">
        <v>22</v>
      </c>
      <c r="B5" s="16">
        <f t="array" ref="B5">INDEX('Year 1'!$I$2:$I$16, MATCH(A5,'Year 1'!$A$2:$A$16,0))</f>
        <v>111508</v>
      </c>
      <c r="C5" s="24">
        <f t="array" ref="C5">INDEX('Year 2'!$L$2:$L$23, MATCH(A5,'Year 2'!$A$2:$A$23,0))</f>
        <v>-274664</v>
      </c>
      <c r="D5" s="24">
        <f t="array" ref="D5">INDEX('Year 3'!$L$2:$L$29, MATCH(A5,'Year 3'!$A$2:$A$29,0))</f>
        <v>556797</v>
      </c>
      <c r="F5" s="16">
        <f t="shared" si="1"/>
        <v>393641</v>
      </c>
    </row>
    <row r="6">
      <c r="A6" s="2" t="s">
        <v>23</v>
      </c>
      <c r="B6" s="16">
        <f t="array" ref="B6">INDEX('Year 1'!$I$2:$I$16, MATCH(A6,'Year 1'!$A$2:$A$16,0))</f>
        <v>221086</v>
      </c>
      <c r="C6" s="24">
        <f t="array" ref="C6">INDEX('Year 2'!$L$2:$L$23, MATCH(A6,'Year 2'!$A$2:$A$23,0))</f>
        <v>471352</v>
      </c>
      <c r="D6" s="24">
        <f t="array" ref="D6">INDEX('Year 3'!$L$2:$L$29, MATCH(A6,'Year 3'!$A$2:$A$29,0))</f>
        <v>82203</v>
      </c>
      <c r="F6" s="16">
        <f t="shared" si="1"/>
        <v>774641</v>
      </c>
    </row>
    <row r="7">
      <c r="A7" s="2" t="s">
        <v>24</v>
      </c>
      <c r="B7" s="16">
        <f t="array" ref="B7">INDEX('Year 1'!$I$2:$I$16, MATCH(A7,'Year 1'!$A$2:$A$16,0))</f>
        <v>146346</v>
      </c>
      <c r="C7" s="24">
        <f t="array" ref="C7">INDEX('Year 2'!$L$2:$L$23, MATCH(A7,'Year 2'!$A$2:$A$23,0))</f>
        <v>224768</v>
      </c>
      <c r="D7" s="24">
        <f t="array" ref="D7">INDEX('Year 3'!$L$2:$L$29, MATCH(A7,'Year 3'!$A$2:$A$29,0))</f>
        <v>229985</v>
      </c>
      <c r="F7" s="16">
        <f t="shared" si="1"/>
        <v>601099</v>
      </c>
    </row>
    <row r="8">
      <c r="A8" s="2" t="s">
        <v>25</v>
      </c>
      <c r="B8" s="16">
        <f t="array" ref="B8">INDEX('Year 1'!$I$2:$I$16, MATCH(A8,'Year 1'!$A$2:$A$16,0))</f>
        <v>14284</v>
      </c>
      <c r="C8" s="24">
        <f t="array" ref="C8">INDEX('Year 2'!$L$2:$L$23, MATCH(A8,'Year 2'!$A$2:$A$23,0))</f>
        <v>261759</v>
      </c>
      <c r="D8" s="24">
        <f t="array" ref="D8">INDEX('Year 3'!$L$2:$L$29, MATCH(A8,'Year 3'!$A$2:$A$29,0))</f>
        <v>-100197</v>
      </c>
      <c r="F8" s="16">
        <f t="shared" si="1"/>
        <v>175846</v>
      </c>
    </row>
    <row r="9">
      <c r="A9" s="2" t="s">
        <v>26</v>
      </c>
      <c r="B9" s="16">
        <f t="array" ref="B9">INDEX('Year 1'!$I$2:$I$16, MATCH(A9,'Year 1'!$A$2:$A$16,0))</f>
        <v>239765</v>
      </c>
      <c r="C9" s="24">
        <f t="array" ref="C9">INDEX('Year 2'!$L$2:$L$23, MATCH(A9,'Year 2'!$A$2:$A$23,0))</f>
        <v>428587</v>
      </c>
      <c r="D9" s="24">
        <f t="array" ref="D9">INDEX('Year 3'!$L$2:$L$29, MATCH(A9,'Year 3'!$A$2:$A$29,0))</f>
        <v>635776</v>
      </c>
      <c r="F9" s="16">
        <f t="shared" si="1"/>
        <v>1304128</v>
      </c>
    </row>
    <row r="10">
      <c r="A10" s="2" t="s">
        <v>27</v>
      </c>
      <c r="B10" s="16">
        <f t="array" ref="B10">INDEX('Year 1'!$I$2:$I$16, MATCH(A10,'Year 1'!$A$2:$A$16,0))</f>
        <v>184125</v>
      </c>
      <c r="C10" s="24">
        <f t="array" ref="C10">INDEX('Year 2'!$L$2:$L$23, MATCH(A10,'Year 2'!$A$2:$A$23,0))</f>
        <v>-42198</v>
      </c>
      <c r="D10" s="24">
        <f t="array" ref="D10">INDEX('Year 3'!$L$2:$L$29, MATCH(A10,'Year 3'!$A$2:$A$29,0))</f>
        <v>631938</v>
      </c>
      <c r="F10" s="16">
        <f t="shared" si="1"/>
        <v>773865</v>
      </c>
    </row>
    <row r="11">
      <c r="A11" s="2" t="s">
        <v>28</v>
      </c>
      <c r="B11" s="16">
        <f t="array" ref="B11">INDEX('Year 1'!$I$2:$I$16, MATCH(A11,'Year 1'!$A$2:$A$16,0))</f>
        <v>81249</v>
      </c>
      <c r="C11" s="24">
        <f t="array" ref="C11">INDEX('Year 2'!$L$2:$L$23, MATCH(A11,'Year 2'!$A$2:$A$23,0))</f>
        <v>-54503</v>
      </c>
      <c r="D11" s="24">
        <f t="array" ref="D11">INDEX('Year 3'!$L$2:$L$29, MATCH(A11,'Year 3'!$A$2:$A$29,0))</f>
        <v>-159049</v>
      </c>
      <c r="F11" s="16">
        <f t="shared" si="1"/>
        <v>-132303</v>
      </c>
    </row>
    <row r="12">
      <c r="A12" s="2" t="s">
        <v>29</v>
      </c>
      <c r="B12" s="16">
        <f t="array" ref="B12">INDEX('Year 1'!$I$2:$I$16, MATCH(A12,'Year 1'!$A$2:$A$16,0))</f>
        <v>115771</v>
      </c>
      <c r="C12" s="24">
        <f t="array" ref="C12">INDEX('Year 2'!$L$2:$L$23, MATCH(A12,'Year 2'!$A$2:$A$23,0))</f>
        <v>112455</v>
      </c>
      <c r="D12" s="24">
        <f t="array" ref="D12">INDEX('Year 3'!$L$2:$L$29, MATCH(A12,'Year 3'!$A$2:$A$29,0))</f>
        <v>924890</v>
      </c>
      <c r="F12" s="16">
        <f t="shared" si="1"/>
        <v>1153116</v>
      </c>
    </row>
    <row r="13">
      <c r="A13" s="2" t="s">
        <v>30</v>
      </c>
      <c r="B13" s="16">
        <f t="array" ref="B13">INDEX('Year 1'!$I$2:$I$16, MATCH(A13,'Year 1'!$A$2:$A$16,0))</f>
        <v>40862</v>
      </c>
      <c r="C13" s="24">
        <f t="array" ref="C13">INDEX('Year 2'!$L$2:$L$23, MATCH(A13,'Year 2'!$A$2:$A$23,0))</f>
        <v>350252</v>
      </c>
      <c r="D13" s="24">
        <f t="array" ref="D13">INDEX('Year 3'!$L$2:$L$29, MATCH(A13,'Year 3'!$A$2:$A$29,0))</f>
        <v>44868</v>
      </c>
      <c r="F13" s="16">
        <f t="shared" si="1"/>
        <v>435982</v>
      </c>
    </row>
    <row r="14">
      <c r="A14" s="2" t="s">
        <v>31</v>
      </c>
      <c r="B14" s="16">
        <f t="array" ref="B14">INDEX('Year 1'!$I$2:$I$16, MATCH(A14,'Year 1'!$A$2:$A$16,0))</f>
        <v>128398</v>
      </c>
      <c r="C14" s="24">
        <f t="array" ref="C14">INDEX('Year 2'!$L$2:$L$23, MATCH(A14,'Year 2'!$A$2:$A$23,0))</f>
        <v>-251404</v>
      </c>
      <c r="D14" s="24">
        <f t="array" ref="D14">INDEX('Year 3'!$L$2:$L$29, MATCH(A14,'Year 3'!$A$2:$A$29,0))</f>
        <v>381161</v>
      </c>
      <c r="F14" s="16">
        <f t="shared" si="1"/>
        <v>258155</v>
      </c>
    </row>
    <row r="15">
      <c r="A15" s="2" t="s">
        <v>32</v>
      </c>
      <c r="B15" s="16">
        <f t="array" ref="B15">INDEX('Year 1'!$I$2:$I$16, MATCH(A15,'Year 1'!$A$2:$A$16,0))</f>
        <v>-63661</v>
      </c>
      <c r="C15" s="24">
        <f t="array" ref="C15">INDEX('Year 2'!$L$2:$L$23, MATCH(A15,'Year 2'!$A$2:$A$23,0))</f>
        <v>-16207</v>
      </c>
      <c r="D15" s="24">
        <f t="array" ref="D15">INDEX('Year 3'!$L$2:$L$29, MATCH(A15,'Year 3'!$A$2:$A$29,0))</f>
        <v>20568</v>
      </c>
      <c r="F15" s="16">
        <f t="shared" si="1"/>
        <v>-59300</v>
      </c>
    </row>
    <row r="16">
      <c r="A16" s="2" t="s">
        <v>33</v>
      </c>
      <c r="B16" s="16">
        <f t="array" ref="B16">INDEX('Year 1'!$I$2:$I$16, MATCH(A16,'Year 1'!$A$2:$A$16,0))</f>
        <v>266456</v>
      </c>
      <c r="C16" s="24">
        <f t="array" ref="C16">INDEX('Year 2'!$L$2:$L$23, MATCH(A16,'Year 2'!$A$2:$A$23,0))</f>
        <v>203146</v>
      </c>
      <c r="D16" s="24">
        <f t="array" ref="D16">INDEX('Year 3'!$L$2:$L$29, MATCH(A16,'Year 3'!$A$2:$A$29,0))</f>
        <v>550987</v>
      </c>
      <c r="F16" s="16">
        <f t="shared" si="1"/>
        <v>1020589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151</v>
      </c>
      <c r="E1" s="1" t="s">
        <v>5</v>
      </c>
      <c r="F1" s="1" t="s">
        <v>7</v>
      </c>
      <c r="G1" s="1" t="s">
        <v>8</v>
      </c>
      <c r="H1" s="1" t="s">
        <v>35</v>
      </c>
      <c r="I1" s="1" t="s">
        <v>6</v>
      </c>
      <c r="J1" s="1" t="s">
        <v>114</v>
      </c>
      <c r="K1" s="1" t="s">
        <v>11</v>
      </c>
    </row>
    <row r="2">
      <c r="A2" s="22" t="s">
        <v>14</v>
      </c>
      <c r="B2" s="22" t="s">
        <v>21</v>
      </c>
      <c r="C2" s="16">
        <v>2.58</v>
      </c>
      <c r="D2" s="22">
        <v>37.0</v>
      </c>
      <c r="E2" s="16">
        <v>645.0</v>
      </c>
      <c r="F2" s="18">
        <v>324679.0</v>
      </c>
      <c r="G2" s="18">
        <v>4714079.0</v>
      </c>
      <c r="H2" s="18">
        <v>4389400.0</v>
      </c>
      <c r="I2" s="23">
        <v>226.14</v>
      </c>
      <c r="J2" s="25">
        <v>2484.0</v>
      </c>
      <c r="K2" s="22">
        <v>10.0</v>
      </c>
    </row>
    <row r="3">
      <c r="A3" s="22" t="s">
        <v>18</v>
      </c>
      <c r="B3" s="22" t="s">
        <v>21</v>
      </c>
      <c r="C3" s="16">
        <v>2.58</v>
      </c>
      <c r="D3" s="22">
        <v>45.0</v>
      </c>
      <c r="E3" s="16">
        <v>608.0</v>
      </c>
      <c r="F3" s="18">
        <v>817242.0</v>
      </c>
      <c r="G3" s="18">
        <v>7855469.0</v>
      </c>
      <c r="H3" s="18">
        <v>7038227.0</v>
      </c>
      <c r="I3" s="23">
        <v>232.87</v>
      </c>
      <c r="J3" s="22">
        <v>459.0</v>
      </c>
      <c r="K3" s="22">
        <v>9.0</v>
      </c>
    </row>
    <row r="4">
      <c r="A4" s="22" t="s">
        <v>14</v>
      </c>
      <c r="B4" s="22" t="s">
        <v>15</v>
      </c>
      <c r="C4" s="16">
        <v>2.63</v>
      </c>
      <c r="D4" s="22">
        <v>48.0</v>
      </c>
      <c r="E4" s="16">
        <v>609.0</v>
      </c>
      <c r="F4" s="18">
        <v>-14944.0</v>
      </c>
      <c r="G4" s="18">
        <v>3378790.0</v>
      </c>
      <c r="H4" s="18">
        <v>3393734.0</v>
      </c>
      <c r="I4" s="23">
        <v>126.13</v>
      </c>
      <c r="J4" s="22">
        <v>221.0</v>
      </c>
      <c r="K4" s="22">
        <v>15.0</v>
      </c>
    </row>
    <row r="5">
      <c r="A5" s="22" t="s">
        <v>14</v>
      </c>
      <c r="B5" s="22" t="s">
        <v>21</v>
      </c>
      <c r="C5" s="16">
        <v>2.7</v>
      </c>
      <c r="D5" s="22">
        <v>46.0</v>
      </c>
      <c r="E5" s="16">
        <v>610.0</v>
      </c>
      <c r="F5" s="18">
        <v>242962.0</v>
      </c>
      <c r="G5" s="18">
        <v>4616601.0</v>
      </c>
      <c r="H5" s="18">
        <v>4373639.0</v>
      </c>
      <c r="I5" s="23">
        <v>260.01</v>
      </c>
      <c r="J5" s="25">
        <v>4590.0</v>
      </c>
      <c r="K5" s="22">
        <v>6.0</v>
      </c>
    </row>
    <row r="6">
      <c r="A6" s="22" t="s">
        <v>136</v>
      </c>
      <c r="B6" s="22" t="s">
        <v>15</v>
      </c>
      <c r="C6" s="16">
        <v>3.13</v>
      </c>
      <c r="D6" s="22">
        <v>51.0</v>
      </c>
      <c r="E6" s="16">
        <v>630.0</v>
      </c>
      <c r="F6" s="18">
        <v>195859.0</v>
      </c>
      <c r="G6" s="18">
        <v>8026400.0</v>
      </c>
      <c r="H6" s="18">
        <v>7830541.0</v>
      </c>
      <c r="I6" s="23">
        <v>146.56</v>
      </c>
      <c r="J6" s="22">
        <v>495.0</v>
      </c>
      <c r="K6" s="22">
        <v>14.0</v>
      </c>
    </row>
    <row r="7">
      <c r="A7" s="22" t="s">
        <v>14</v>
      </c>
      <c r="B7" s="22" t="s">
        <v>15</v>
      </c>
      <c r="C7" s="22" t="s">
        <v>178</v>
      </c>
      <c r="D7" s="22">
        <v>42.0</v>
      </c>
      <c r="E7" s="16">
        <v>675.0</v>
      </c>
      <c r="F7" s="18">
        <v>-91065.0</v>
      </c>
      <c r="G7" s="18">
        <v>4051020.0</v>
      </c>
      <c r="H7" s="18">
        <v>4142085.0</v>
      </c>
      <c r="I7" s="23">
        <v>168.05</v>
      </c>
      <c r="J7" s="25">
        <v>4023.0</v>
      </c>
      <c r="K7" s="22">
        <v>12.0</v>
      </c>
    </row>
    <row r="8">
      <c r="A8" s="22" t="s">
        <v>14</v>
      </c>
      <c r="B8" s="22" t="s">
        <v>15</v>
      </c>
      <c r="C8" s="16">
        <v>3.53</v>
      </c>
      <c r="D8" s="22">
        <v>39.0</v>
      </c>
      <c r="E8" s="16">
        <v>660.0</v>
      </c>
      <c r="F8" s="18">
        <v>375500.0</v>
      </c>
      <c r="G8" s="18">
        <v>4857919.0</v>
      </c>
      <c r="H8" s="18">
        <v>4482419.0</v>
      </c>
      <c r="I8" s="23">
        <v>248.5</v>
      </c>
      <c r="J8" s="22">
        <v>289.0</v>
      </c>
      <c r="K8" s="22">
        <v>7.0</v>
      </c>
    </row>
    <row r="9">
      <c r="A9" s="22" t="s">
        <v>14</v>
      </c>
      <c r="B9" s="22" t="s">
        <v>19</v>
      </c>
      <c r="C9" s="16">
        <v>3.58</v>
      </c>
      <c r="D9" s="22">
        <v>49.0</v>
      </c>
      <c r="E9" s="16">
        <v>669.0</v>
      </c>
      <c r="F9" s="18">
        <v>1035359.0</v>
      </c>
      <c r="G9" s="18">
        <v>8201516.0</v>
      </c>
      <c r="H9" s="18">
        <v>7166157.0</v>
      </c>
      <c r="I9" s="23">
        <v>352.41</v>
      </c>
      <c r="J9" s="25">
        <v>1685.0</v>
      </c>
      <c r="K9" s="22">
        <v>1.0</v>
      </c>
    </row>
    <row r="10">
      <c r="A10" s="22" t="s">
        <v>136</v>
      </c>
      <c r="B10" s="22" t="s">
        <v>19</v>
      </c>
      <c r="C10" s="16">
        <v>3.78</v>
      </c>
      <c r="D10" s="22">
        <v>45.0</v>
      </c>
      <c r="E10" s="16">
        <v>670.0</v>
      </c>
      <c r="F10" s="18">
        <v>296640.0</v>
      </c>
      <c r="G10" s="18">
        <v>5447088.0</v>
      </c>
      <c r="H10" s="18">
        <v>5150448.0</v>
      </c>
      <c r="I10" s="23">
        <v>149.99</v>
      </c>
      <c r="J10" s="25">
        <v>2346.0</v>
      </c>
      <c r="K10" s="22">
        <v>13.0</v>
      </c>
    </row>
    <row r="11">
      <c r="A11" s="22" t="s">
        <v>14</v>
      </c>
      <c r="B11" s="22" t="s">
        <v>15</v>
      </c>
      <c r="C11" s="16">
        <v>3.85</v>
      </c>
      <c r="D11" s="22">
        <v>48.0</v>
      </c>
      <c r="E11" s="16">
        <v>679.0</v>
      </c>
      <c r="F11" s="18">
        <v>-14944.0</v>
      </c>
      <c r="G11" s="18">
        <v>3378790.0</v>
      </c>
      <c r="H11" s="18">
        <v>3393734.0</v>
      </c>
      <c r="I11" s="23">
        <v>126.13</v>
      </c>
      <c r="J11" s="22">
        <v>221.0</v>
      </c>
      <c r="K11" s="22">
        <v>15.0</v>
      </c>
    </row>
    <row r="12">
      <c r="A12" s="22" t="s">
        <v>14</v>
      </c>
      <c r="B12" s="22" t="s">
        <v>15</v>
      </c>
      <c r="C12" s="16">
        <v>3.9</v>
      </c>
      <c r="D12" s="22">
        <v>44.0</v>
      </c>
      <c r="E12" s="16">
        <v>690.0</v>
      </c>
      <c r="F12" s="18">
        <v>603121.0</v>
      </c>
      <c r="G12" s="18">
        <v>7022377.0</v>
      </c>
      <c r="H12" s="18">
        <v>6419256.0</v>
      </c>
      <c r="I12" s="23">
        <v>233.24</v>
      </c>
      <c r="J12" s="22">
        <v>455.0</v>
      </c>
      <c r="K12" s="22">
        <v>8.0</v>
      </c>
    </row>
    <row r="13">
      <c r="A13" s="22" t="s">
        <v>136</v>
      </c>
      <c r="B13" s="22" t="s">
        <v>15</v>
      </c>
      <c r="C13" s="22" t="s">
        <v>190</v>
      </c>
      <c r="D13" s="22">
        <v>52.0</v>
      </c>
      <c r="E13" s="16">
        <v>725.0</v>
      </c>
      <c r="F13" s="18">
        <v>959995.0</v>
      </c>
      <c r="G13" s="18">
        <v>8186440.0</v>
      </c>
      <c r="H13" s="18">
        <v>7226445.0</v>
      </c>
      <c r="I13" s="23">
        <v>307.02</v>
      </c>
      <c r="J13" s="25">
        <v>4022.0</v>
      </c>
      <c r="K13" s="22">
        <v>2.0</v>
      </c>
    </row>
    <row r="14">
      <c r="A14" s="22" t="s">
        <v>14</v>
      </c>
      <c r="B14" s="22" t="s">
        <v>15</v>
      </c>
      <c r="C14" s="16">
        <v>4.05</v>
      </c>
      <c r="D14" s="22">
        <v>60.0</v>
      </c>
      <c r="E14" s="16">
        <v>698.0</v>
      </c>
      <c r="F14" s="18">
        <v>376278.0</v>
      </c>
      <c r="G14" s="18">
        <v>6289483.0</v>
      </c>
      <c r="H14" s="18">
        <v>5913205.0</v>
      </c>
      <c r="I14" s="23">
        <v>301.6</v>
      </c>
      <c r="J14" s="22">
        <v>336.0</v>
      </c>
      <c r="K14" s="22">
        <v>3.0</v>
      </c>
    </row>
    <row r="15">
      <c r="A15" s="22" t="s">
        <v>14</v>
      </c>
      <c r="B15" s="22" t="s">
        <v>15</v>
      </c>
      <c r="C15" s="16">
        <v>4.1</v>
      </c>
      <c r="D15" s="22">
        <v>54.0</v>
      </c>
      <c r="E15" s="16">
        <v>724.0</v>
      </c>
      <c r="F15" s="18">
        <v>687291.0</v>
      </c>
      <c r="G15" s="18">
        <v>7869440.0</v>
      </c>
      <c r="H15" s="18">
        <v>7182149.0</v>
      </c>
      <c r="I15" s="23">
        <v>274.13</v>
      </c>
      <c r="J15" s="22">
        <v>405.0</v>
      </c>
      <c r="K15" s="22">
        <v>5.0</v>
      </c>
    </row>
    <row r="16">
      <c r="A16" s="22" t="s">
        <v>136</v>
      </c>
      <c r="B16" s="22" t="s">
        <v>15</v>
      </c>
      <c r="C16" s="16">
        <v>4.15</v>
      </c>
      <c r="D16" s="22">
        <v>40.0</v>
      </c>
      <c r="E16" s="16">
        <v>734.0</v>
      </c>
      <c r="F16" s="18">
        <v>573907.0</v>
      </c>
      <c r="G16" s="18">
        <v>5452279.0</v>
      </c>
      <c r="H16" s="18">
        <v>4878372.0</v>
      </c>
      <c r="I16" s="23">
        <v>293.01</v>
      </c>
      <c r="J16" s="25">
        <v>3674.0</v>
      </c>
      <c r="K16" s="22">
        <v>4.0</v>
      </c>
    </row>
    <row r="17">
      <c r="A17" s="22" t="s">
        <v>136</v>
      </c>
      <c r="B17" s="22" t="s">
        <v>158</v>
      </c>
      <c r="C17" s="22" t="s">
        <v>159</v>
      </c>
      <c r="D17" s="22">
        <v>53.0</v>
      </c>
      <c r="E17" s="16">
        <v>700.0</v>
      </c>
      <c r="F17" s="18">
        <v>319188.0</v>
      </c>
      <c r="G17" s="18">
        <v>6244910.0</v>
      </c>
      <c r="H17" s="18">
        <v>5925722.0</v>
      </c>
      <c r="I17" s="23">
        <v>191.29</v>
      </c>
      <c r="J17" s="25">
        <v>1335.0</v>
      </c>
      <c r="K17" s="22">
        <v>11.0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</cols>
  <sheetData>
    <row r="1">
      <c r="A1" s="46" t="s">
        <v>0</v>
      </c>
      <c r="B1" s="46" t="s">
        <v>446</v>
      </c>
      <c r="C1" s="46" t="s">
        <v>447</v>
      </c>
      <c r="D1" s="46" t="s">
        <v>448</v>
      </c>
      <c r="E1" s="46" t="s">
        <v>4</v>
      </c>
      <c r="F1" s="46" t="s">
        <v>5</v>
      </c>
      <c r="G1" s="46" t="s">
        <v>114</v>
      </c>
      <c r="H1" s="26" t="s">
        <v>449</v>
      </c>
      <c r="I1" s="26" t="s">
        <v>450</v>
      </c>
    </row>
    <row r="2">
      <c r="A2" s="26" t="s">
        <v>24</v>
      </c>
      <c r="B2" s="47">
        <v>2.0</v>
      </c>
      <c r="C2" s="26" t="str">
        <f t="shared" ref="C2:C24" si="1">CONCAT(A2, CONCAT(" ",B2))</f>
        <v>Freeflow Kayaks 2</v>
      </c>
      <c r="D2" s="48">
        <f t="shared" ref="D2:D24" si="2">10*B2+E2</f>
        <v>22.4</v>
      </c>
      <c r="E2" s="48">
        <v>2.4</v>
      </c>
      <c r="F2" s="48">
        <v>599.0</v>
      </c>
      <c r="G2" s="47">
        <v>331.0</v>
      </c>
      <c r="H2" s="49">
        <f t="shared" ref="H2:H24" si="3">E2*$T$76+$U$76</f>
        <v>594.4084126</v>
      </c>
      <c r="I2" s="49">
        <f t="shared" ref="I2:I24" si="4">F2-H2</f>
        <v>4.59158745</v>
      </c>
    </row>
    <row r="3">
      <c r="A3" s="26" t="s">
        <v>20</v>
      </c>
      <c r="B3" s="47">
        <v>2.0</v>
      </c>
      <c r="C3" s="26" t="str">
        <f t="shared" si="1"/>
        <v>H2OExplorers 2</v>
      </c>
      <c r="D3" s="48">
        <f t="shared" si="2"/>
        <v>22.55</v>
      </c>
      <c r="E3" s="48">
        <v>2.55</v>
      </c>
      <c r="F3" s="48">
        <v>615.0</v>
      </c>
      <c r="G3" s="47">
        <v>285.0</v>
      </c>
      <c r="H3" s="49">
        <f t="shared" si="3"/>
        <v>605.339776</v>
      </c>
      <c r="I3" s="49">
        <f t="shared" si="4"/>
        <v>9.660224048</v>
      </c>
    </row>
    <row r="4">
      <c r="A4" s="26" t="s">
        <v>25</v>
      </c>
      <c r="B4" s="47">
        <v>2.0</v>
      </c>
      <c r="C4" s="26" t="str">
        <f t="shared" si="1"/>
        <v>Great Lakes Kayak Co 2</v>
      </c>
      <c r="D4" s="48">
        <f t="shared" si="2"/>
        <v>22.675</v>
      </c>
      <c r="E4" s="48">
        <v>2.675</v>
      </c>
      <c r="F4" s="48">
        <v>599.0</v>
      </c>
      <c r="G4" s="47">
        <v>317.0</v>
      </c>
      <c r="H4" s="49">
        <f t="shared" si="3"/>
        <v>614.4492455</v>
      </c>
      <c r="I4" s="49">
        <f t="shared" si="4"/>
        <v>-15.44924545</v>
      </c>
    </row>
    <row r="5">
      <c r="A5" s="26" t="s">
        <v>16</v>
      </c>
      <c r="B5" s="47">
        <v>2.0</v>
      </c>
      <c r="C5" s="26" t="str">
        <f t="shared" si="1"/>
        <v>Sea Splash Kayaks 2</v>
      </c>
      <c r="D5" s="48">
        <f t="shared" si="2"/>
        <v>22.95</v>
      </c>
      <c r="E5" s="48">
        <v>2.95</v>
      </c>
      <c r="F5" s="48">
        <v>620.0</v>
      </c>
      <c r="G5" s="47">
        <v>322.0</v>
      </c>
      <c r="H5" s="49">
        <f t="shared" si="3"/>
        <v>634.4900784</v>
      </c>
      <c r="I5" s="49">
        <f t="shared" si="4"/>
        <v>-14.49007836</v>
      </c>
    </row>
    <row r="6">
      <c r="A6" s="26" t="s">
        <v>30</v>
      </c>
      <c r="B6" s="47">
        <v>2.0</v>
      </c>
      <c r="C6" s="26" t="str">
        <f t="shared" si="1"/>
        <v>MarineX 2</v>
      </c>
      <c r="D6" s="48">
        <f t="shared" si="2"/>
        <v>23.35</v>
      </c>
      <c r="E6" s="48">
        <v>3.35</v>
      </c>
      <c r="F6" s="48">
        <v>675.0</v>
      </c>
      <c r="G6" s="47">
        <v>318.0</v>
      </c>
      <c r="H6" s="49">
        <f t="shared" si="3"/>
        <v>663.6403808</v>
      </c>
      <c r="I6" s="49">
        <f t="shared" si="4"/>
        <v>11.35961924</v>
      </c>
    </row>
    <row r="7">
      <c r="A7" s="26" t="s">
        <v>29</v>
      </c>
      <c r="B7" s="47">
        <v>2.0</v>
      </c>
      <c r="C7" s="26" t="str">
        <f t="shared" si="1"/>
        <v>DraKayak 2</v>
      </c>
      <c r="D7" s="48">
        <f t="shared" si="2"/>
        <v>23.5</v>
      </c>
      <c r="E7" s="48">
        <v>3.5</v>
      </c>
      <c r="F7" s="48">
        <v>669.0</v>
      </c>
      <c r="G7" s="47">
        <v>342.0</v>
      </c>
      <c r="H7" s="49">
        <f t="shared" si="3"/>
        <v>674.5717442</v>
      </c>
      <c r="I7" s="49">
        <f t="shared" si="4"/>
        <v>-5.571744166</v>
      </c>
    </row>
    <row r="8">
      <c r="A8" s="26" t="s">
        <v>12</v>
      </c>
      <c r="B8" s="47">
        <v>2.0</v>
      </c>
      <c r="C8" s="26" t="str">
        <f t="shared" si="1"/>
        <v>Crystal Crest Kayaks 2</v>
      </c>
      <c r="D8" s="48">
        <f t="shared" si="2"/>
        <v>23.775</v>
      </c>
      <c r="E8" s="48">
        <v>3.775</v>
      </c>
      <c r="F8" s="48">
        <v>700.0</v>
      </c>
      <c r="G8" s="50">
        <v>303.0</v>
      </c>
      <c r="H8" s="49">
        <f t="shared" si="3"/>
        <v>694.6125771</v>
      </c>
      <c r="I8" s="49">
        <f t="shared" si="4"/>
        <v>5.387422931</v>
      </c>
    </row>
    <row r="9">
      <c r="A9" s="26" t="s">
        <v>26</v>
      </c>
      <c r="B9" s="47">
        <v>2.0</v>
      </c>
      <c r="C9" s="26" t="str">
        <f t="shared" si="1"/>
        <v>Bluewater Kayaks 2</v>
      </c>
      <c r="D9" s="48">
        <f t="shared" si="2"/>
        <v>23.85</v>
      </c>
      <c r="E9" s="48">
        <v>3.85</v>
      </c>
      <c r="F9" s="48">
        <v>739.0</v>
      </c>
      <c r="G9" s="47">
        <v>437.0</v>
      </c>
      <c r="H9" s="49">
        <f t="shared" si="3"/>
        <v>700.0782588</v>
      </c>
      <c r="I9" s="49">
        <f t="shared" si="4"/>
        <v>38.92174123</v>
      </c>
    </row>
    <row r="10">
      <c r="A10" s="26" t="s">
        <v>23</v>
      </c>
      <c r="B10" s="47">
        <v>2.0</v>
      </c>
      <c r="C10" s="26" t="str">
        <f t="shared" si="1"/>
        <v>Ramm 2</v>
      </c>
      <c r="D10" s="48">
        <f t="shared" si="2"/>
        <v>24.1</v>
      </c>
      <c r="E10" s="48">
        <v>4.1</v>
      </c>
      <c r="F10" s="48">
        <v>723.0</v>
      </c>
      <c r="G10" s="47">
        <v>313.0</v>
      </c>
      <c r="H10" s="49">
        <f t="shared" si="3"/>
        <v>718.2971978</v>
      </c>
      <c r="I10" s="49">
        <f t="shared" si="4"/>
        <v>4.702802226</v>
      </c>
    </row>
    <row r="11">
      <c r="A11" s="26" t="s">
        <v>33</v>
      </c>
      <c r="B11" s="47">
        <v>2.0</v>
      </c>
      <c r="C11" s="26" t="str">
        <f t="shared" si="1"/>
        <v>AquaFloat 2</v>
      </c>
      <c r="D11" s="48">
        <f t="shared" si="2"/>
        <v>24.125</v>
      </c>
      <c r="E11" s="48">
        <v>4.125</v>
      </c>
      <c r="F11" s="48">
        <v>734.0</v>
      </c>
      <c r="G11" s="47">
        <v>962.0</v>
      </c>
      <c r="H11" s="49">
        <f t="shared" si="3"/>
        <v>720.1190917</v>
      </c>
      <c r="I11" s="49">
        <f t="shared" si="4"/>
        <v>13.88090833</v>
      </c>
    </row>
    <row r="12">
      <c r="A12" s="26" t="s">
        <v>24</v>
      </c>
      <c r="B12" s="47">
        <v>3.0</v>
      </c>
      <c r="C12" s="26" t="str">
        <f t="shared" si="1"/>
        <v>Freeflow Kayaks 3</v>
      </c>
      <c r="D12" s="48">
        <f t="shared" si="2"/>
        <v>32.45</v>
      </c>
      <c r="E12" s="48">
        <v>2.45</v>
      </c>
      <c r="F12" s="48">
        <v>615.0</v>
      </c>
      <c r="G12" s="47">
        <v>355.0</v>
      </c>
      <c r="H12" s="49">
        <f t="shared" si="3"/>
        <v>598.0522004</v>
      </c>
      <c r="I12" s="49">
        <f t="shared" si="4"/>
        <v>16.94779965</v>
      </c>
    </row>
    <row r="13">
      <c r="A13" s="26" t="s">
        <v>20</v>
      </c>
      <c r="B13" s="47">
        <v>3.0</v>
      </c>
      <c r="C13" s="26" t="str">
        <f t="shared" si="1"/>
        <v>H2OExplorers 3</v>
      </c>
      <c r="D13" s="48">
        <f t="shared" si="2"/>
        <v>32.625</v>
      </c>
      <c r="E13" s="48">
        <v>2.625</v>
      </c>
      <c r="F13" s="48">
        <v>635.0</v>
      </c>
      <c r="G13" s="47">
        <v>751.0</v>
      </c>
      <c r="H13" s="49">
        <f t="shared" si="3"/>
        <v>610.8054577</v>
      </c>
      <c r="I13" s="49">
        <f t="shared" si="4"/>
        <v>24.19454235</v>
      </c>
    </row>
    <row r="14">
      <c r="A14" s="26" t="s">
        <v>25</v>
      </c>
      <c r="B14" s="47">
        <v>3.0</v>
      </c>
      <c r="C14" s="26" t="str">
        <f t="shared" si="1"/>
        <v>Great Lakes Kayak Co 3</v>
      </c>
      <c r="D14" s="48">
        <f t="shared" si="2"/>
        <v>32.625</v>
      </c>
      <c r="E14" s="48">
        <v>2.625</v>
      </c>
      <c r="F14" s="48">
        <v>597.0</v>
      </c>
      <c r="G14" s="47">
        <v>618.0</v>
      </c>
      <c r="H14" s="49">
        <f t="shared" si="3"/>
        <v>610.8054577</v>
      </c>
      <c r="I14" s="49">
        <f t="shared" si="4"/>
        <v>-13.80545765</v>
      </c>
    </row>
    <row r="15">
      <c r="A15" s="26" t="s">
        <v>29</v>
      </c>
      <c r="B15" s="47">
        <v>3.0</v>
      </c>
      <c r="C15" s="26" t="str">
        <f t="shared" si="1"/>
        <v>DraKayak 3</v>
      </c>
      <c r="D15" s="48">
        <f t="shared" si="2"/>
        <v>33.45</v>
      </c>
      <c r="E15" s="48">
        <v>3.45</v>
      </c>
      <c r="F15" s="48">
        <v>669.0</v>
      </c>
      <c r="G15" s="47">
        <v>663.0</v>
      </c>
      <c r="H15" s="49">
        <f t="shared" si="3"/>
        <v>670.9279564</v>
      </c>
      <c r="I15" s="49">
        <f t="shared" si="4"/>
        <v>-1.927956365</v>
      </c>
    </row>
    <row r="16">
      <c r="A16" s="26" t="s">
        <v>27</v>
      </c>
      <c r="B16" s="47">
        <v>3.0</v>
      </c>
      <c r="C16" s="26" t="str">
        <f t="shared" si="1"/>
        <v>ElevationKayaks 3</v>
      </c>
      <c r="D16" s="48">
        <f t="shared" si="2"/>
        <v>33.525</v>
      </c>
      <c r="E16" s="48">
        <v>3.525</v>
      </c>
      <c r="F16" s="48">
        <v>656.0</v>
      </c>
      <c r="G16" s="47">
        <v>289.0</v>
      </c>
      <c r="H16" s="49">
        <f t="shared" si="3"/>
        <v>676.3936381</v>
      </c>
      <c r="I16" s="49">
        <f t="shared" si="4"/>
        <v>-20.39363807</v>
      </c>
    </row>
    <row r="17">
      <c r="A17" s="26" t="s">
        <v>22</v>
      </c>
      <c r="B17" s="47">
        <v>3.0</v>
      </c>
      <c r="C17" s="26" t="str">
        <f t="shared" si="1"/>
        <v>Under The Paddle 3</v>
      </c>
      <c r="D17" s="48">
        <f t="shared" si="2"/>
        <v>33.8</v>
      </c>
      <c r="E17" s="48">
        <v>3.8</v>
      </c>
      <c r="F17" s="48">
        <v>690.0</v>
      </c>
      <c r="G17" s="47">
        <v>342.0</v>
      </c>
      <c r="H17" s="49">
        <f t="shared" si="3"/>
        <v>696.434471</v>
      </c>
      <c r="I17" s="49">
        <f t="shared" si="4"/>
        <v>-6.43447097</v>
      </c>
    </row>
    <row r="18">
      <c r="A18" s="26" t="s">
        <v>26</v>
      </c>
      <c r="B18" s="47">
        <v>3.0</v>
      </c>
      <c r="C18" s="26" t="str">
        <f t="shared" si="1"/>
        <v>Bluewater Kayaks 3</v>
      </c>
      <c r="D18" s="48">
        <f t="shared" si="2"/>
        <v>34</v>
      </c>
      <c r="E18" s="48">
        <v>4.0</v>
      </c>
      <c r="F18" s="48">
        <v>718.0</v>
      </c>
      <c r="G18" s="50">
        <v>824.0</v>
      </c>
      <c r="H18" s="49">
        <f t="shared" si="3"/>
        <v>711.0096222</v>
      </c>
      <c r="I18" s="49">
        <f t="shared" si="4"/>
        <v>6.990377828</v>
      </c>
    </row>
    <row r="19">
      <c r="A19" s="26" t="s">
        <v>25</v>
      </c>
      <c r="B19" s="47">
        <v>4.0</v>
      </c>
      <c r="C19" s="26" t="str">
        <f t="shared" si="1"/>
        <v>Great Lakes Kayak Co 4</v>
      </c>
      <c r="D19" s="48">
        <f t="shared" si="2"/>
        <v>42.58</v>
      </c>
      <c r="E19" s="48">
        <v>2.58</v>
      </c>
      <c r="F19" s="48">
        <v>608.0</v>
      </c>
      <c r="G19" s="47">
        <v>459.0</v>
      </c>
      <c r="H19" s="49">
        <f t="shared" si="3"/>
        <v>607.5260486</v>
      </c>
      <c r="I19" s="49">
        <f t="shared" si="4"/>
        <v>0.4739513672</v>
      </c>
    </row>
    <row r="20">
      <c r="A20" s="26" t="s">
        <v>16</v>
      </c>
      <c r="B20" s="47">
        <v>4.0</v>
      </c>
      <c r="C20" s="26" t="str">
        <f t="shared" si="1"/>
        <v>Sea Splash Kayaks 4</v>
      </c>
      <c r="D20" s="48">
        <f t="shared" si="2"/>
        <v>43.13</v>
      </c>
      <c r="E20" s="48">
        <v>3.13</v>
      </c>
      <c r="F20" s="48">
        <v>630.0</v>
      </c>
      <c r="G20" s="47">
        <v>495.0</v>
      </c>
      <c r="H20" s="49">
        <f t="shared" si="3"/>
        <v>647.6077144</v>
      </c>
      <c r="I20" s="49">
        <f t="shared" si="4"/>
        <v>-17.60771444</v>
      </c>
    </row>
    <row r="21">
      <c r="A21" s="26" t="s">
        <v>27</v>
      </c>
      <c r="B21" s="47">
        <v>4.0</v>
      </c>
      <c r="C21" s="26" t="str">
        <f t="shared" si="1"/>
        <v>ElevationKayaks 4</v>
      </c>
      <c r="D21" s="48">
        <f t="shared" si="2"/>
        <v>43.53</v>
      </c>
      <c r="E21" s="48">
        <v>3.53</v>
      </c>
      <c r="F21" s="48">
        <v>660.0</v>
      </c>
      <c r="G21" s="47">
        <v>289.0</v>
      </c>
      <c r="H21" s="49">
        <f t="shared" si="3"/>
        <v>676.7580168</v>
      </c>
      <c r="I21" s="49">
        <f t="shared" si="4"/>
        <v>-16.75801685</v>
      </c>
    </row>
    <row r="22">
      <c r="A22" s="26" t="s">
        <v>22</v>
      </c>
      <c r="B22" s="47">
        <v>4.0</v>
      </c>
      <c r="C22" s="26" t="str">
        <f t="shared" si="1"/>
        <v>Under The Paddle 4</v>
      </c>
      <c r="D22" s="48">
        <f t="shared" si="2"/>
        <v>43.9</v>
      </c>
      <c r="E22" s="48">
        <v>3.9</v>
      </c>
      <c r="F22" s="48">
        <v>690.0</v>
      </c>
      <c r="G22" s="47">
        <v>455.0</v>
      </c>
      <c r="H22" s="49">
        <f t="shared" si="3"/>
        <v>703.7220466</v>
      </c>
      <c r="I22" s="49">
        <f t="shared" si="4"/>
        <v>-13.72204657</v>
      </c>
    </row>
    <row r="23">
      <c r="A23" s="26" t="s">
        <v>26</v>
      </c>
      <c r="B23" s="47">
        <v>4.0</v>
      </c>
      <c r="C23" s="26" t="str">
        <f t="shared" si="1"/>
        <v>Bluewater Kayaks 4</v>
      </c>
      <c r="D23" s="48">
        <f t="shared" si="2"/>
        <v>44.05</v>
      </c>
      <c r="E23" s="48">
        <v>4.05</v>
      </c>
      <c r="F23" s="48">
        <v>698.0</v>
      </c>
      <c r="G23" s="47">
        <v>336.0</v>
      </c>
      <c r="H23" s="49">
        <f t="shared" si="3"/>
        <v>714.65341</v>
      </c>
      <c r="I23" s="49">
        <f t="shared" si="4"/>
        <v>-16.65340997</v>
      </c>
    </row>
    <row r="24">
      <c r="A24" s="26" t="s">
        <v>12</v>
      </c>
      <c r="B24" s="47">
        <v>4.0</v>
      </c>
      <c r="C24" s="26" t="str">
        <f t="shared" si="1"/>
        <v>Crystal Crest Kayaks 4</v>
      </c>
      <c r="D24" s="48">
        <f t="shared" si="2"/>
        <v>44.1</v>
      </c>
      <c r="E24" s="48">
        <v>4.1</v>
      </c>
      <c r="F24" s="48">
        <v>724.0</v>
      </c>
      <c r="G24" s="47">
        <v>405.0</v>
      </c>
      <c r="H24" s="49">
        <f t="shared" si="3"/>
        <v>718.2971978</v>
      </c>
      <c r="I24" s="49">
        <f t="shared" si="4"/>
        <v>5.702802226</v>
      </c>
    </row>
    <row r="25">
      <c r="E25" s="16"/>
      <c r="F25" s="16"/>
    </row>
    <row r="26">
      <c r="D26" s="16"/>
      <c r="E26" s="16"/>
      <c r="F26" s="16"/>
      <c r="H26" s="8"/>
      <c r="I26" s="8"/>
    </row>
    <row r="27">
      <c r="C27" s="21">
        <f t="array" ref="C27:D27">LINEST(F2:F24,E2:E24)</f>
        <v>72.87575601</v>
      </c>
      <c r="D27" s="16">
        <v>419.50659811706083</v>
      </c>
      <c r="E27" s="16"/>
      <c r="F27" s="16"/>
      <c r="H27" s="8"/>
      <c r="I27" s="8"/>
    </row>
    <row r="28">
      <c r="C28" s="22">
        <f>CORREL(G2:G24,I2:I24)</f>
        <v>0.29700114</v>
      </c>
      <c r="D28" s="16"/>
      <c r="E28" s="16"/>
      <c r="F28" s="16"/>
      <c r="H28" s="8"/>
      <c r="I28" s="8"/>
    </row>
    <row r="29">
      <c r="D29" s="16"/>
      <c r="E29" s="16"/>
      <c r="F29" s="16"/>
      <c r="H29" s="8"/>
      <c r="I29" s="8"/>
    </row>
    <row r="30">
      <c r="D30" s="16"/>
      <c r="E30" s="16"/>
      <c r="F30" s="16"/>
      <c r="H30" s="8"/>
      <c r="I30" s="8"/>
    </row>
    <row r="31">
      <c r="D31" s="16"/>
      <c r="E31" s="16"/>
      <c r="F31" s="16"/>
      <c r="H31" s="8"/>
      <c r="I31" s="8"/>
    </row>
    <row r="32">
      <c r="D32" s="16"/>
      <c r="E32" s="16"/>
      <c r="F32" s="16"/>
      <c r="H32" s="8"/>
      <c r="I32" s="8"/>
    </row>
    <row r="33">
      <c r="L33" s="18"/>
    </row>
    <row r="39">
      <c r="O39" s="16"/>
      <c r="P39" s="16"/>
      <c r="R39" s="8"/>
    </row>
    <row r="40">
      <c r="O40" s="16"/>
      <c r="P40" s="16"/>
      <c r="R40" s="8"/>
    </row>
    <row r="41">
      <c r="O41" s="16"/>
      <c r="P41" s="16"/>
      <c r="R41" s="8"/>
    </row>
    <row r="42">
      <c r="O42" s="16"/>
      <c r="P42" s="16"/>
      <c r="R42" s="8"/>
    </row>
    <row r="43">
      <c r="O43" s="16"/>
      <c r="P43" s="16"/>
      <c r="R43" s="8"/>
    </row>
    <row r="44">
      <c r="O44" s="16"/>
      <c r="P44" s="16"/>
      <c r="R44" s="8"/>
    </row>
    <row r="45">
      <c r="O45" s="16"/>
      <c r="P45" s="16"/>
      <c r="R45" s="8"/>
    </row>
    <row r="46">
      <c r="O46" s="16"/>
      <c r="P46" s="16"/>
      <c r="R46" s="8"/>
    </row>
    <row r="47">
      <c r="O47" s="16"/>
      <c r="P47" s="16"/>
      <c r="R47" s="8"/>
    </row>
    <row r="48">
      <c r="O48" s="16"/>
      <c r="P48" s="16"/>
      <c r="R48" s="8"/>
    </row>
    <row r="51">
      <c r="T51" s="1" t="s">
        <v>0</v>
      </c>
      <c r="U51" s="1" t="s">
        <v>446</v>
      </c>
      <c r="V51" s="1" t="s">
        <v>447</v>
      </c>
      <c r="W51" s="1" t="s">
        <v>4</v>
      </c>
      <c r="X51" s="1" t="s">
        <v>5</v>
      </c>
      <c r="Y51" s="1" t="s">
        <v>114</v>
      </c>
    </row>
    <row r="52">
      <c r="T52" s="22" t="s">
        <v>24</v>
      </c>
      <c r="U52" s="1">
        <v>2.0</v>
      </c>
      <c r="V52" s="22" t="str">
        <f t="shared" ref="V52:V74" si="5">CONCAT(T52, CONCAT(" ",U52))</f>
        <v>Freeflow Kayaks 2</v>
      </c>
      <c r="W52" s="16">
        <v>2.4</v>
      </c>
      <c r="X52" s="16">
        <v>599.0</v>
      </c>
      <c r="Y52" s="22">
        <v>331.0</v>
      </c>
    </row>
    <row r="53">
      <c r="T53" s="22" t="s">
        <v>20</v>
      </c>
      <c r="U53" s="1">
        <v>2.0</v>
      </c>
      <c r="V53" s="22" t="str">
        <f t="shared" si="5"/>
        <v>H2OExplorers 2</v>
      </c>
      <c r="W53" s="16">
        <v>2.55</v>
      </c>
      <c r="X53" s="16">
        <v>615.0</v>
      </c>
      <c r="Y53" s="22">
        <v>285.0</v>
      </c>
    </row>
    <row r="54">
      <c r="T54" s="22" t="s">
        <v>25</v>
      </c>
      <c r="U54" s="1">
        <v>2.0</v>
      </c>
      <c r="V54" s="22" t="str">
        <f t="shared" si="5"/>
        <v>Great Lakes Kayak Co 2</v>
      </c>
      <c r="W54" s="16">
        <v>2.675</v>
      </c>
      <c r="X54" s="16">
        <v>599.0</v>
      </c>
      <c r="Y54" s="22">
        <v>317.0</v>
      </c>
    </row>
    <row r="55">
      <c r="T55" s="22" t="s">
        <v>16</v>
      </c>
      <c r="U55" s="1">
        <v>2.0</v>
      </c>
      <c r="V55" s="22" t="str">
        <f t="shared" si="5"/>
        <v>Sea Splash Kayaks 2</v>
      </c>
      <c r="W55" s="16">
        <v>2.95</v>
      </c>
      <c r="X55" s="16">
        <v>620.0</v>
      </c>
      <c r="Y55" s="22">
        <v>322.0</v>
      </c>
    </row>
    <row r="56">
      <c r="T56" s="22" t="s">
        <v>30</v>
      </c>
      <c r="U56" s="1">
        <v>2.0</v>
      </c>
      <c r="V56" s="22" t="str">
        <f t="shared" si="5"/>
        <v>MarineX 2</v>
      </c>
      <c r="W56" s="16">
        <v>3.35</v>
      </c>
      <c r="X56" s="16">
        <v>675.0</v>
      </c>
      <c r="Y56" s="22">
        <v>318.0</v>
      </c>
    </row>
    <row r="57">
      <c r="T57" s="22" t="s">
        <v>29</v>
      </c>
      <c r="U57" s="1">
        <v>2.0</v>
      </c>
      <c r="V57" s="22" t="str">
        <f t="shared" si="5"/>
        <v>DraKayak 2</v>
      </c>
      <c r="W57" s="16">
        <v>3.5</v>
      </c>
      <c r="X57" s="16">
        <v>669.0</v>
      </c>
      <c r="Y57" s="22">
        <v>342.0</v>
      </c>
    </row>
    <row r="58">
      <c r="T58" s="22" t="s">
        <v>12</v>
      </c>
      <c r="U58" s="1">
        <v>2.0</v>
      </c>
      <c r="V58" s="22" t="str">
        <f t="shared" si="5"/>
        <v>Crystal Crest Kayaks 2</v>
      </c>
      <c r="W58" s="16">
        <v>3.775</v>
      </c>
      <c r="X58" s="16">
        <v>700.0</v>
      </c>
      <c r="Y58" s="22">
        <v>303.0</v>
      </c>
    </row>
    <row r="59">
      <c r="T59" s="22" t="s">
        <v>26</v>
      </c>
      <c r="U59" s="1">
        <v>2.0</v>
      </c>
      <c r="V59" s="22" t="str">
        <f t="shared" si="5"/>
        <v>Bluewater Kayaks 2</v>
      </c>
      <c r="W59" s="16">
        <v>3.85</v>
      </c>
      <c r="X59" s="16">
        <v>739.0</v>
      </c>
      <c r="Y59" s="22">
        <v>437.0</v>
      </c>
    </row>
    <row r="60">
      <c r="T60" s="22" t="s">
        <v>23</v>
      </c>
      <c r="U60" s="1">
        <v>2.0</v>
      </c>
      <c r="V60" s="22" t="str">
        <f t="shared" si="5"/>
        <v>Ramm 2</v>
      </c>
      <c r="W60" s="16">
        <v>4.1</v>
      </c>
      <c r="X60" s="16">
        <v>723.0</v>
      </c>
      <c r="Y60" s="22">
        <v>313.0</v>
      </c>
    </row>
    <row r="61">
      <c r="T61" s="22" t="s">
        <v>33</v>
      </c>
      <c r="U61" s="1">
        <v>2.0</v>
      </c>
      <c r="V61" s="22" t="str">
        <f t="shared" si="5"/>
        <v>AquaFloat 2</v>
      </c>
      <c r="W61" s="16">
        <v>4.125</v>
      </c>
      <c r="X61" s="16">
        <v>734.0</v>
      </c>
      <c r="Y61" s="22">
        <v>962.0</v>
      </c>
    </row>
    <row r="62">
      <c r="T62" s="22" t="s">
        <v>24</v>
      </c>
      <c r="U62" s="1">
        <v>3.0</v>
      </c>
      <c r="V62" s="22" t="str">
        <f t="shared" si="5"/>
        <v>Freeflow Kayaks 3</v>
      </c>
      <c r="W62" s="16">
        <v>2.45</v>
      </c>
      <c r="X62" s="16">
        <v>615.0</v>
      </c>
      <c r="Y62" s="22">
        <v>355.0</v>
      </c>
    </row>
    <row r="63">
      <c r="T63" s="22" t="s">
        <v>20</v>
      </c>
      <c r="U63" s="1">
        <v>3.0</v>
      </c>
      <c r="V63" s="22" t="str">
        <f t="shared" si="5"/>
        <v>H2OExplorers 3</v>
      </c>
      <c r="W63" s="16">
        <v>2.625</v>
      </c>
      <c r="X63" s="16">
        <v>635.0</v>
      </c>
      <c r="Y63" s="22">
        <v>751.0</v>
      </c>
    </row>
    <row r="64">
      <c r="T64" s="22" t="s">
        <v>25</v>
      </c>
      <c r="U64" s="1">
        <v>3.0</v>
      </c>
      <c r="V64" s="22" t="str">
        <f t="shared" si="5"/>
        <v>Great Lakes Kayak Co 3</v>
      </c>
      <c r="W64" s="16">
        <v>2.625</v>
      </c>
      <c r="X64" s="16">
        <v>597.0</v>
      </c>
      <c r="Y64" s="22">
        <v>618.0</v>
      </c>
    </row>
    <row r="65">
      <c r="T65" s="22" t="s">
        <v>29</v>
      </c>
      <c r="U65" s="1">
        <v>3.0</v>
      </c>
      <c r="V65" s="22" t="str">
        <f t="shared" si="5"/>
        <v>DraKayak 3</v>
      </c>
      <c r="W65" s="16">
        <v>3.45</v>
      </c>
      <c r="X65" s="16">
        <v>669.0</v>
      </c>
      <c r="Y65" s="22">
        <v>663.0</v>
      </c>
    </row>
    <row r="66">
      <c r="T66" s="22" t="s">
        <v>27</v>
      </c>
      <c r="U66" s="1">
        <v>3.0</v>
      </c>
      <c r="V66" s="22" t="str">
        <f t="shared" si="5"/>
        <v>ElevationKayaks 3</v>
      </c>
      <c r="W66" s="16">
        <v>3.525</v>
      </c>
      <c r="X66" s="16">
        <v>656.0</v>
      </c>
      <c r="Y66" s="22">
        <v>289.0</v>
      </c>
    </row>
    <row r="67">
      <c r="T67" s="22" t="s">
        <v>22</v>
      </c>
      <c r="U67" s="1">
        <v>3.0</v>
      </c>
      <c r="V67" s="22" t="str">
        <f t="shared" si="5"/>
        <v>Under The Paddle 3</v>
      </c>
      <c r="W67" s="16">
        <v>3.8</v>
      </c>
      <c r="X67" s="16">
        <v>690.0</v>
      </c>
      <c r="Y67" s="22">
        <v>342.0</v>
      </c>
    </row>
    <row r="68">
      <c r="T68" s="22" t="s">
        <v>26</v>
      </c>
      <c r="U68" s="1">
        <v>3.0</v>
      </c>
      <c r="V68" s="22" t="str">
        <f t="shared" si="5"/>
        <v>Bluewater Kayaks 3</v>
      </c>
      <c r="W68" s="16">
        <v>4.0</v>
      </c>
      <c r="X68" s="16">
        <v>718.0</v>
      </c>
      <c r="Y68" s="22">
        <v>824.0</v>
      </c>
    </row>
    <row r="69">
      <c r="T69" s="22" t="s">
        <v>25</v>
      </c>
      <c r="U69" s="1">
        <v>4.0</v>
      </c>
      <c r="V69" s="22" t="str">
        <f t="shared" si="5"/>
        <v>Great Lakes Kayak Co 4</v>
      </c>
      <c r="W69" s="16">
        <v>2.58</v>
      </c>
      <c r="X69" s="16">
        <v>608.0</v>
      </c>
      <c r="Y69" s="22">
        <v>459.0</v>
      </c>
    </row>
    <row r="70">
      <c r="T70" s="22" t="s">
        <v>16</v>
      </c>
      <c r="U70" s="1">
        <v>4.0</v>
      </c>
      <c r="V70" s="22" t="str">
        <f t="shared" si="5"/>
        <v>Sea Splash Kayaks 4</v>
      </c>
      <c r="W70" s="16">
        <v>3.13</v>
      </c>
      <c r="X70" s="16">
        <v>630.0</v>
      </c>
      <c r="Y70" s="22">
        <v>495.0</v>
      </c>
    </row>
    <row r="71">
      <c r="T71" s="22" t="s">
        <v>27</v>
      </c>
      <c r="U71" s="1">
        <v>4.0</v>
      </c>
      <c r="V71" s="22" t="str">
        <f t="shared" si="5"/>
        <v>ElevationKayaks 4</v>
      </c>
      <c r="W71" s="16">
        <v>3.53</v>
      </c>
      <c r="X71" s="16">
        <v>660.0</v>
      </c>
      <c r="Y71" s="22">
        <v>289.0</v>
      </c>
    </row>
    <row r="72">
      <c r="T72" s="22" t="s">
        <v>22</v>
      </c>
      <c r="U72" s="1">
        <v>4.0</v>
      </c>
      <c r="V72" s="22" t="str">
        <f t="shared" si="5"/>
        <v>Under The Paddle 4</v>
      </c>
      <c r="W72" s="16">
        <v>3.9</v>
      </c>
      <c r="X72" s="16">
        <v>690.0</v>
      </c>
      <c r="Y72" s="22">
        <v>455.0</v>
      </c>
    </row>
    <row r="73">
      <c r="T73" s="22" t="s">
        <v>26</v>
      </c>
      <c r="U73" s="1">
        <v>4.0</v>
      </c>
      <c r="V73" s="22" t="str">
        <f t="shared" si="5"/>
        <v>Bluewater Kayaks 4</v>
      </c>
      <c r="W73" s="16">
        <v>4.05</v>
      </c>
      <c r="X73" s="16">
        <v>698.0</v>
      </c>
      <c r="Y73" s="22">
        <v>336.0</v>
      </c>
    </row>
    <row r="74">
      <c r="T74" s="22" t="s">
        <v>12</v>
      </c>
      <c r="U74" s="1">
        <v>4.0</v>
      </c>
      <c r="V74" s="22" t="str">
        <f t="shared" si="5"/>
        <v>Crystal Crest Kayaks 4</v>
      </c>
      <c r="W74" s="16">
        <v>4.1</v>
      </c>
      <c r="X74" s="16">
        <v>724.0</v>
      </c>
      <c r="Y74" s="22">
        <v>405.0</v>
      </c>
    </row>
    <row r="76">
      <c r="T76" s="22">
        <f t="array" ref="T76:U76">LINEST(X52:X74,W52:W74)</f>
        <v>72.87575601</v>
      </c>
      <c r="U76" s="22">
        <v>419.50659811706083</v>
      </c>
    </row>
    <row r="78">
      <c r="T78" s="1" t="s">
        <v>0</v>
      </c>
      <c r="U78" s="1" t="s">
        <v>446</v>
      </c>
      <c r="V78" s="1" t="s">
        <v>447</v>
      </c>
      <c r="W78" s="1" t="s">
        <v>448</v>
      </c>
      <c r="X78" s="1" t="s">
        <v>4</v>
      </c>
      <c r="Y78" s="1" t="s">
        <v>5</v>
      </c>
      <c r="Z78" s="1" t="s">
        <v>114</v>
      </c>
      <c r="AA78" s="1" t="s">
        <v>449</v>
      </c>
    </row>
    <row r="79">
      <c r="T79" s="22" t="s">
        <v>24</v>
      </c>
      <c r="U79" s="1">
        <v>2.0</v>
      </c>
      <c r="V79" s="22" t="str">
        <f t="shared" ref="V79:V87" si="6">CONCAT(T79, CONCAT(" ",U79))</f>
        <v>Freeflow Kayaks 2</v>
      </c>
      <c r="W79" s="16">
        <f t="shared" ref="W79:W87" si="7">10*U79+X79</f>
        <v>22.4</v>
      </c>
      <c r="X79" s="16">
        <v>2.4</v>
      </c>
      <c r="Y79" s="16">
        <v>599.0</v>
      </c>
      <c r="Z79" s="22">
        <v>331.0</v>
      </c>
      <c r="AA79" s="8">
        <f t="shared" ref="AA79:AA89" si="8">X79*$T$90+$U$90</f>
        <v>589.7366106</v>
      </c>
      <c r="AB79" s="8">
        <f t="shared" ref="AB79:AB87" si="9">AA79-Y79</f>
        <v>-9.263389415</v>
      </c>
    </row>
    <row r="80">
      <c r="T80" s="22" t="s">
        <v>20</v>
      </c>
      <c r="U80" s="1">
        <v>2.0</v>
      </c>
      <c r="V80" s="22" t="str">
        <f t="shared" si="6"/>
        <v>H2OExplorers 2</v>
      </c>
      <c r="W80" s="16">
        <f t="shared" si="7"/>
        <v>22.55</v>
      </c>
      <c r="X80" s="16">
        <v>2.55</v>
      </c>
      <c r="Y80" s="16">
        <v>615.0</v>
      </c>
      <c r="Z80" s="22">
        <v>285.0</v>
      </c>
      <c r="AA80" s="8">
        <f t="shared" si="8"/>
        <v>602.2803954</v>
      </c>
      <c r="AB80" s="8">
        <f t="shared" si="9"/>
        <v>-12.71960455</v>
      </c>
    </row>
    <row r="81">
      <c r="T81" s="22" t="s">
        <v>25</v>
      </c>
      <c r="U81" s="1">
        <v>2.0</v>
      </c>
      <c r="V81" s="22" t="str">
        <f t="shared" si="6"/>
        <v>Great Lakes Kayak Co 2</v>
      </c>
      <c r="W81" s="16">
        <f t="shared" si="7"/>
        <v>22.675</v>
      </c>
      <c r="X81" s="16">
        <v>2.675</v>
      </c>
      <c r="Y81" s="16">
        <v>599.0</v>
      </c>
      <c r="Z81" s="22">
        <v>317.0</v>
      </c>
      <c r="AA81" s="8">
        <f t="shared" si="8"/>
        <v>612.7335495</v>
      </c>
      <c r="AB81" s="8">
        <f t="shared" si="9"/>
        <v>13.7335495</v>
      </c>
    </row>
    <row r="82">
      <c r="T82" s="22" t="s">
        <v>16</v>
      </c>
      <c r="U82" s="1">
        <v>2.0</v>
      </c>
      <c r="V82" s="22" t="str">
        <f t="shared" si="6"/>
        <v>Sea Splash Kayaks 2</v>
      </c>
      <c r="W82" s="16">
        <f t="shared" si="7"/>
        <v>22.95</v>
      </c>
      <c r="X82" s="16">
        <v>2.95</v>
      </c>
      <c r="Y82" s="16">
        <v>620.0</v>
      </c>
      <c r="Z82" s="22">
        <v>322.0</v>
      </c>
      <c r="AA82" s="8">
        <f t="shared" si="8"/>
        <v>635.7304884</v>
      </c>
      <c r="AB82" s="8">
        <f t="shared" si="9"/>
        <v>15.73048841</v>
      </c>
    </row>
    <row r="83">
      <c r="T83" s="22" t="s">
        <v>30</v>
      </c>
      <c r="U83" s="1">
        <v>2.0</v>
      </c>
      <c r="V83" s="22" t="str">
        <f t="shared" si="6"/>
        <v>MarineX 2</v>
      </c>
      <c r="W83" s="16">
        <f t="shared" si="7"/>
        <v>23.35</v>
      </c>
      <c r="X83" s="16">
        <v>3.35</v>
      </c>
      <c r="Y83" s="16">
        <v>675.0</v>
      </c>
      <c r="Z83" s="22">
        <v>318.0</v>
      </c>
      <c r="AA83" s="8">
        <f t="shared" si="8"/>
        <v>669.1805814</v>
      </c>
      <c r="AB83" s="8">
        <f t="shared" si="9"/>
        <v>-5.81941862</v>
      </c>
    </row>
    <row r="84">
      <c r="T84" s="22" t="s">
        <v>29</v>
      </c>
      <c r="U84" s="1">
        <v>2.0</v>
      </c>
      <c r="V84" s="22" t="str">
        <f t="shared" si="6"/>
        <v>DraKayak 2</v>
      </c>
      <c r="W84" s="16">
        <f t="shared" si="7"/>
        <v>23.5</v>
      </c>
      <c r="X84" s="16">
        <v>3.5</v>
      </c>
      <c r="Y84" s="16">
        <v>669.0</v>
      </c>
      <c r="Z84" s="22">
        <v>342.0</v>
      </c>
      <c r="AA84" s="8">
        <f t="shared" si="8"/>
        <v>681.7243662</v>
      </c>
      <c r="AB84" s="8">
        <f t="shared" si="9"/>
        <v>12.72436624</v>
      </c>
    </row>
    <row r="85">
      <c r="T85" s="22" t="s">
        <v>12</v>
      </c>
      <c r="U85" s="1">
        <v>2.0</v>
      </c>
      <c r="V85" s="22" t="str">
        <f t="shared" si="6"/>
        <v>Crystal Crest Kayaks 2</v>
      </c>
      <c r="W85" s="16">
        <f t="shared" si="7"/>
        <v>23.775</v>
      </c>
      <c r="X85" s="16">
        <v>3.775</v>
      </c>
      <c r="Y85" s="16">
        <v>700.0</v>
      </c>
      <c r="Z85" s="22">
        <v>303.0</v>
      </c>
      <c r="AA85" s="8">
        <f t="shared" si="8"/>
        <v>704.7213052</v>
      </c>
      <c r="AB85" s="8">
        <f t="shared" si="9"/>
        <v>4.721305156</v>
      </c>
    </row>
    <row r="86">
      <c r="T86" s="22" t="s">
        <v>26</v>
      </c>
      <c r="U86" s="1">
        <v>2.0</v>
      </c>
      <c r="V86" s="22" t="str">
        <f t="shared" si="6"/>
        <v>Bluewater Kayaks 2</v>
      </c>
      <c r="W86" s="16">
        <f t="shared" si="7"/>
        <v>23.85</v>
      </c>
      <c r="X86" s="16">
        <v>3.85</v>
      </c>
      <c r="Y86" s="16">
        <v>739.0</v>
      </c>
      <c r="Z86" s="22">
        <v>437.0</v>
      </c>
      <c r="AA86" s="8">
        <f t="shared" si="8"/>
        <v>710.9931976</v>
      </c>
      <c r="AB86" s="8">
        <f t="shared" si="9"/>
        <v>-28.00680241</v>
      </c>
    </row>
    <row r="87">
      <c r="T87" s="22" t="s">
        <v>23</v>
      </c>
      <c r="U87" s="1">
        <v>2.0</v>
      </c>
      <c r="V87" s="22" t="str">
        <f t="shared" si="6"/>
        <v>Ramm 2</v>
      </c>
      <c r="W87" s="16">
        <f t="shared" si="7"/>
        <v>24.1</v>
      </c>
      <c r="X87" s="16">
        <v>4.1</v>
      </c>
      <c r="Y87" s="16">
        <v>723.0</v>
      </c>
      <c r="Z87" s="22">
        <v>313.0</v>
      </c>
      <c r="AA87" s="8">
        <f t="shared" si="8"/>
        <v>731.8995057</v>
      </c>
      <c r="AB87" s="8">
        <f t="shared" si="9"/>
        <v>8.899505691</v>
      </c>
    </row>
    <row r="88">
      <c r="X88" s="15">
        <v>4.1</v>
      </c>
      <c r="Y88" s="16"/>
      <c r="AA88" s="8">
        <f t="shared" si="8"/>
        <v>731.8995057</v>
      </c>
    </row>
    <row r="89">
      <c r="X89" s="1">
        <v>3.85</v>
      </c>
      <c r="AA89" s="8">
        <f t="shared" si="8"/>
        <v>710.9931976</v>
      </c>
    </row>
    <row r="90">
      <c r="T90" s="22">
        <f t="array" ref="T90:U90">LINEST(Y79:Y87,X79:X87)</f>
        <v>83.62523242</v>
      </c>
      <c r="U90" s="22">
        <v>389.0360527867215</v>
      </c>
    </row>
    <row r="91">
      <c r="T91" s="22">
        <f>CORREL(Z79:Z87,AB79:AB87)</f>
        <v>-0.5427633662</v>
      </c>
    </row>
    <row r="92">
      <c r="T92" s="1" t="s">
        <v>0</v>
      </c>
      <c r="U92" s="1" t="s">
        <v>446</v>
      </c>
      <c r="V92" s="1" t="s">
        <v>447</v>
      </c>
      <c r="W92" s="1" t="s">
        <v>448</v>
      </c>
      <c r="X92" s="1" t="s">
        <v>4</v>
      </c>
      <c r="Y92" s="1" t="s">
        <v>5</v>
      </c>
      <c r="Z92" s="1" t="s">
        <v>114</v>
      </c>
      <c r="AA92" s="1" t="s">
        <v>449</v>
      </c>
    </row>
    <row r="93">
      <c r="T93" s="22" t="s">
        <v>24</v>
      </c>
      <c r="U93" s="1">
        <v>3.0</v>
      </c>
      <c r="V93" s="22" t="str">
        <f t="shared" ref="V93:V99" si="10">CONCAT(T93, CONCAT(" ",U93))</f>
        <v>Freeflow Kayaks 3</v>
      </c>
      <c r="W93" s="16">
        <f t="shared" ref="W93:W99" si="11">10*U93+X93</f>
        <v>32.45</v>
      </c>
      <c r="X93" s="16">
        <v>2.45</v>
      </c>
      <c r="Y93" s="16">
        <v>615.0</v>
      </c>
      <c r="Z93" s="22">
        <v>355.0</v>
      </c>
      <c r="AA93" s="8">
        <f t="shared" ref="AA93:AA101" si="12">X93*$T$101+$U$101</f>
        <v>606.5226288</v>
      </c>
      <c r="AB93" s="16">
        <f t="shared" ref="AB93:AB99" si="13">Y93-AA93</f>
        <v>8.477371173</v>
      </c>
    </row>
    <row r="94">
      <c r="T94" s="22" t="s">
        <v>20</v>
      </c>
      <c r="U94" s="1">
        <v>3.0</v>
      </c>
      <c r="V94" s="22" t="str">
        <f t="shared" si="10"/>
        <v>H2OExplorers 3</v>
      </c>
      <c r="W94" s="16">
        <f t="shared" si="11"/>
        <v>32.625</v>
      </c>
      <c r="X94" s="16">
        <v>2.625</v>
      </c>
      <c r="Y94" s="16">
        <v>635.0</v>
      </c>
      <c r="Z94" s="22">
        <v>751.0</v>
      </c>
      <c r="AA94" s="8">
        <f t="shared" si="12"/>
        <v>617.5103809</v>
      </c>
      <c r="AB94" s="16">
        <f t="shared" si="13"/>
        <v>17.48961912</v>
      </c>
    </row>
    <row r="95">
      <c r="T95" s="22" t="s">
        <v>25</v>
      </c>
      <c r="U95" s="1">
        <v>3.0</v>
      </c>
      <c r="V95" s="22" t="str">
        <f t="shared" si="10"/>
        <v>Great Lakes Kayak Co 3</v>
      </c>
      <c r="W95" s="16">
        <f t="shared" si="11"/>
        <v>32.625</v>
      </c>
      <c r="X95" s="16">
        <v>2.625</v>
      </c>
      <c r="Y95" s="16">
        <v>597.0</v>
      </c>
      <c r="Z95" s="22">
        <v>618.0</v>
      </c>
      <c r="AA95" s="8">
        <f t="shared" si="12"/>
        <v>617.5103809</v>
      </c>
      <c r="AB95" s="16">
        <f t="shared" si="13"/>
        <v>-20.51038088</v>
      </c>
    </row>
    <row r="96">
      <c r="T96" s="22" t="s">
        <v>29</v>
      </c>
      <c r="U96" s="1">
        <v>3.0</v>
      </c>
      <c r="V96" s="22" t="str">
        <f t="shared" si="10"/>
        <v>DraKayak 3</v>
      </c>
      <c r="W96" s="16">
        <f t="shared" si="11"/>
        <v>33.45</v>
      </c>
      <c r="X96" s="16">
        <v>3.45</v>
      </c>
      <c r="Y96" s="16">
        <v>669.0</v>
      </c>
      <c r="Z96" s="22">
        <v>663.0</v>
      </c>
      <c r="AA96" s="8">
        <f t="shared" si="12"/>
        <v>669.3097834</v>
      </c>
      <c r="AB96" s="16">
        <f t="shared" si="13"/>
        <v>-0.3097834205</v>
      </c>
    </row>
    <row r="97">
      <c r="T97" s="22" t="s">
        <v>27</v>
      </c>
      <c r="U97" s="1">
        <v>3.0</v>
      </c>
      <c r="V97" s="22" t="str">
        <f t="shared" si="10"/>
        <v>ElevationKayaks 3</v>
      </c>
      <c r="W97" s="16">
        <f t="shared" si="11"/>
        <v>33.525</v>
      </c>
      <c r="X97" s="16">
        <v>3.525</v>
      </c>
      <c r="Y97" s="16">
        <v>656.0</v>
      </c>
      <c r="Z97" s="22">
        <v>289.0</v>
      </c>
      <c r="AA97" s="8">
        <f t="shared" si="12"/>
        <v>674.01882</v>
      </c>
      <c r="AB97" s="16">
        <f t="shared" si="13"/>
        <v>-18.01882001</v>
      </c>
    </row>
    <row r="98">
      <c r="A98" s="1" t="s">
        <v>0</v>
      </c>
      <c r="B98" s="1" t="s">
        <v>446</v>
      </c>
      <c r="C98" s="1" t="s">
        <v>447</v>
      </c>
      <c r="D98" s="1" t="s">
        <v>448</v>
      </c>
      <c r="E98" s="1" t="s">
        <v>4</v>
      </c>
      <c r="F98" s="1" t="s">
        <v>5</v>
      </c>
      <c r="G98" s="1" t="s">
        <v>114</v>
      </c>
      <c r="H98" s="1" t="s">
        <v>449</v>
      </c>
      <c r="I98" s="1" t="s">
        <v>450</v>
      </c>
      <c r="T98" s="22" t="s">
        <v>22</v>
      </c>
      <c r="U98" s="1">
        <v>3.0</v>
      </c>
      <c r="V98" s="22" t="str">
        <f t="shared" si="10"/>
        <v>Under The Paddle 3</v>
      </c>
      <c r="W98" s="16">
        <f t="shared" si="11"/>
        <v>33.8</v>
      </c>
      <c r="X98" s="16">
        <v>3.8</v>
      </c>
      <c r="Y98" s="16">
        <v>690.0</v>
      </c>
      <c r="Z98" s="22">
        <v>342.0</v>
      </c>
      <c r="AA98" s="8">
        <f t="shared" si="12"/>
        <v>691.2852875</v>
      </c>
      <c r="AB98" s="16">
        <f t="shared" si="13"/>
        <v>-1.285287528</v>
      </c>
    </row>
    <row r="99">
      <c r="A99" s="22" t="s">
        <v>26</v>
      </c>
      <c r="B99" s="1">
        <v>2.0</v>
      </c>
      <c r="C99" s="22" t="s">
        <v>451</v>
      </c>
      <c r="D99" s="16">
        <v>23.85</v>
      </c>
      <c r="E99" s="16">
        <v>3.85</v>
      </c>
      <c r="F99" s="16">
        <v>739.0</v>
      </c>
      <c r="G99" s="22">
        <v>437.0</v>
      </c>
      <c r="H99" s="8">
        <v>700.0782587704133</v>
      </c>
      <c r="I99" s="8">
        <v>-38.9217412295867</v>
      </c>
      <c r="T99" s="22" t="s">
        <v>26</v>
      </c>
      <c r="U99" s="1">
        <v>3.0</v>
      </c>
      <c r="V99" s="22" t="str">
        <f t="shared" si="10"/>
        <v>Bluewater Kayaks 3</v>
      </c>
      <c r="W99" s="16">
        <f t="shared" si="11"/>
        <v>34</v>
      </c>
      <c r="X99" s="16">
        <v>4.0</v>
      </c>
      <c r="Y99" s="16">
        <v>718.0</v>
      </c>
      <c r="Z99" s="22">
        <v>824.0</v>
      </c>
      <c r="AA99" s="8">
        <f t="shared" si="12"/>
        <v>703.8427184</v>
      </c>
      <c r="AB99" s="16">
        <f t="shared" si="13"/>
        <v>14.15728155</v>
      </c>
    </row>
    <row r="100">
      <c r="A100" s="22" t="s">
        <v>20</v>
      </c>
      <c r="B100" s="1">
        <v>3.0</v>
      </c>
      <c r="C100" s="22" t="s">
        <v>452</v>
      </c>
      <c r="D100" s="16">
        <v>32.625</v>
      </c>
      <c r="E100" s="16">
        <v>2.625</v>
      </c>
      <c r="F100" s="16">
        <v>635.0</v>
      </c>
      <c r="G100" s="22">
        <v>751.0</v>
      </c>
      <c r="H100" s="8">
        <v>610.8054576534375</v>
      </c>
      <c r="I100" s="8">
        <v>-24.194542346562457</v>
      </c>
      <c r="T100" s="1" t="s">
        <v>453</v>
      </c>
      <c r="X100" s="1">
        <v>4.1</v>
      </c>
      <c r="AA100" s="8">
        <f t="shared" si="12"/>
        <v>710.1214339</v>
      </c>
    </row>
    <row r="101">
      <c r="A101" s="22" t="s">
        <v>24</v>
      </c>
      <c r="B101" s="1">
        <v>3.0</v>
      </c>
      <c r="C101" s="22" t="s">
        <v>454</v>
      </c>
      <c r="D101" s="16">
        <v>32.45</v>
      </c>
      <c r="E101" s="16">
        <v>2.45</v>
      </c>
      <c r="F101" s="16">
        <v>615.0</v>
      </c>
      <c r="G101" s="22">
        <v>355.0</v>
      </c>
      <c r="H101" s="8">
        <v>598.0522003510124</v>
      </c>
      <c r="I101" s="8">
        <v>-16.947799648987598</v>
      </c>
      <c r="T101" s="22">
        <f t="array" ref="T101:U101">LINEST(Y93:Y99,X93:X99)</f>
        <v>62.78715459</v>
      </c>
      <c r="U101" s="22">
        <v>452.6941000746826</v>
      </c>
      <c r="X101" s="1">
        <v>3.85</v>
      </c>
      <c r="AA101" s="8">
        <f t="shared" si="12"/>
        <v>694.4246453</v>
      </c>
    </row>
    <row r="102">
      <c r="A102" s="22" t="s">
        <v>33</v>
      </c>
      <c r="B102" s="1">
        <v>2.0</v>
      </c>
      <c r="C102" s="22" t="s">
        <v>455</v>
      </c>
      <c r="D102" s="16">
        <v>24.125</v>
      </c>
      <c r="E102" s="16">
        <v>4.125</v>
      </c>
      <c r="F102" s="16">
        <v>734.0</v>
      </c>
      <c r="G102" s="22">
        <v>962.0</v>
      </c>
      <c r="H102" s="8">
        <v>720.1190916742241</v>
      </c>
      <c r="I102" s="8">
        <v>-13.880908325775863</v>
      </c>
      <c r="T102" s="22">
        <f>CORREL(Z93:Z99,AB93:AB99)</f>
        <v>0.4799019059</v>
      </c>
    </row>
    <row r="103">
      <c r="A103" s="22" t="s">
        <v>30</v>
      </c>
      <c r="B103" s="1">
        <v>2.0</v>
      </c>
      <c r="C103" s="22" t="s">
        <v>456</v>
      </c>
      <c r="D103" s="16">
        <v>23.35</v>
      </c>
      <c r="E103" s="16">
        <v>3.35</v>
      </c>
      <c r="F103" s="16">
        <v>675.0</v>
      </c>
      <c r="G103" s="22">
        <v>318.0</v>
      </c>
      <c r="H103" s="8">
        <v>663.6403807634845</v>
      </c>
      <c r="I103" s="8">
        <v>-11.359619236515528</v>
      </c>
      <c r="T103" s="1" t="s">
        <v>0</v>
      </c>
      <c r="U103" s="1" t="s">
        <v>446</v>
      </c>
      <c r="V103" s="1" t="s">
        <v>447</v>
      </c>
      <c r="W103" s="1" t="s">
        <v>448</v>
      </c>
      <c r="X103" s="1" t="s">
        <v>4</v>
      </c>
      <c r="Y103" s="1" t="s">
        <v>5</v>
      </c>
      <c r="Z103" s="1" t="s">
        <v>114</v>
      </c>
      <c r="AA103" s="1" t="s">
        <v>449</v>
      </c>
    </row>
    <row r="104">
      <c r="A104" s="22" t="s">
        <v>20</v>
      </c>
      <c r="B104" s="1">
        <v>2.0</v>
      </c>
      <c r="C104" s="22" t="s">
        <v>457</v>
      </c>
      <c r="D104" s="16">
        <v>22.55</v>
      </c>
      <c r="E104" s="16">
        <v>2.55</v>
      </c>
      <c r="F104" s="16">
        <v>615.0</v>
      </c>
      <c r="G104" s="22">
        <v>285.0</v>
      </c>
      <c r="H104" s="8">
        <v>605.3397759523982</v>
      </c>
      <c r="I104" s="8">
        <v>-9.660224047601787</v>
      </c>
      <c r="T104" s="22" t="s">
        <v>25</v>
      </c>
      <c r="U104" s="1">
        <v>4.0</v>
      </c>
      <c r="V104" s="22" t="str">
        <f t="shared" ref="V104:V109" si="14">CONCAT(T104, CONCAT(" ",U104))</f>
        <v>Great Lakes Kayak Co 4</v>
      </c>
      <c r="W104" s="16">
        <f t="shared" ref="W104:W109" si="15">10*U104+X104</f>
        <v>42.58</v>
      </c>
      <c r="X104" s="16">
        <v>2.58</v>
      </c>
      <c r="Y104" s="16">
        <v>608.0</v>
      </c>
      <c r="Z104" s="22">
        <v>459.0</v>
      </c>
      <c r="AA104" s="8">
        <f t="shared" ref="AA104:AA109" si="16">X104*$T$111+$U$111</f>
        <v>599.2884596</v>
      </c>
      <c r="AB104" s="16">
        <f t="shared" ref="AB104:AB109" si="17">Y104-AA104</f>
        <v>8.711540428</v>
      </c>
    </row>
    <row r="105">
      <c r="A105" s="22" t="s">
        <v>26</v>
      </c>
      <c r="B105" s="1">
        <v>3.0</v>
      </c>
      <c r="C105" s="22" t="s">
        <v>458</v>
      </c>
      <c r="D105" s="16">
        <v>34.0</v>
      </c>
      <c r="E105" s="16">
        <v>4.0</v>
      </c>
      <c r="F105" s="16">
        <v>718.0</v>
      </c>
      <c r="G105" s="22">
        <v>824.0</v>
      </c>
      <c r="H105" s="8">
        <v>711.009622172492</v>
      </c>
      <c r="I105" s="8">
        <v>-6.990377827508041</v>
      </c>
      <c r="T105" s="22" t="s">
        <v>16</v>
      </c>
      <c r="U105" s="1">
        <v>4.0</v>
      </c>
      <c r="V105" s="22" t="str">
        <f t="shared" si="14"/>
        <v>Sea Splash Kayaks 4</v>
      </c>
      <c r="W105" s="16">
        <f t="shared" si="15"/>
        <v>43.13</v>
      </c>
      <c r="X105" s="16">
        <v>3.13</v>
      </c>
      <c r="Y105" s="16">
        <v>630.0</v>
      </c>
      <c r="Z105" s="22">
        <v>495.0</v>
      </c>
      <c r="AA105" s="8">
        <f t="shared" si="16"/>
        <v>638.5049972</v>
      </c>
      <c r="AB105" s="16">
        <f t="shared" si="17"/>
        <v>-8.504997164</v>
      </c>
    </row>
    <row r="106">
      <c r="A106" s="22" t="s">
        <v>12</v>
      </c>
      <c r="B106" s="1">
        <v>4.0</v>
      </c>
      <c r="C106" s="22" t="s">
        <v>459</v>
      </c>
      <c r="D106" s="16">
        <v>44.1</v>
      </c>
      <c r="E106" s="16">
        <v>4.1</v>
      </c>
      <c r="F106" s="16">
        <v>724.0</v>
      </c>
      <c r="G106" s="22">
        <v>405.0</v>
      </c>
      <c r="H106" s="8">
        <v>718.2971977738778</v>
      </c>
      <c r="I106" s="8">
        <v>-5.70280222612223</v>
      </c>
      <c r="T106" s="22" t="s">
        <v>27</v>
      </c>
      <c r="U106" s="1">
        <v>4.0</v>
      </c>
      <c r="V106" s="22" t="str">
        <f t="shared" si="14"/>
        <v>ElevationKayaks 4</v>
      </c>
      <c r="W106" s="16">
        <f t="shared" si="15"/>
        <v>43.53</v>
      </c>
      <c r="X106" s="16">
        <v>3.53</v>
      </c>
      <c r="Y106" s="16">
        <v>660.0</v>
      </c>
      <c r="Z106" s="22">
        <v>289.0</v>
      </c>
      <c r="AA106" s="8">
        <f t="shared" si="16"/>
        <v>667.0261154</v>
      </c>
      <c r="AB106" s="16">
        <f t="shared" si="17"/>
        <v>-7.026115414</v>
      </c>
    </row>
    <row r="107">
      <c r="A107" s="22" t="s">
        <v>12</v>
      </c>
      <c r="B107" s="1">
        <v>2.0</v>
      </c>
      <c r="C107" s="22" t="s">
        <v>460</v>
      </c>
      <c r="D107" s="16">
        <v>23.775</v>
      </c>
      <c r="E107" s="16">
        <v>3.775</v>
      </c>
      <c r="F107" s="16">
        <v>700.0</v>
      </c>
      <c r="G107" s="22">
        <v>303.0</v>
      </c>
      <c r="H107" s="8">
        <v>694.612577069374</v>
      </c>
      <c r="I107" s="8">
        <v>-5.38742293062603</v>
      </c>
      <c r="T107" s="22" t="s">
        <v>22</v>
      </c>
      <c r="U107" s="1">
        <v>4.0</v>
      </c>
      <c r="V107" s="22" t="str">
        <f t="shared" si="14"/>
        <v>Under The Paddle 4</v>
      </c>
      <c r="W107" s="16">
        <f t="shared" si="15"/>
        <v>43.9</v>
      </c>
      <c r="X107" s="16">
        <v>3.9</v>
      </c>
      <c r="Y107" s="16">
        <v>690.0</v>
      </c>
      <c r="Z107" s="22">
        <v>455.0</v>
      </c>
      <c r="AA107" s="8">
        <f t="shared" si="16"/>
        <v>693.4081498</v>
      </c>
      <c r="AB107" s="16">
        <f t="shared" si="17"/>
        <v>-3.408149794</v>
      </c>
    </row>
    <row r="108">
      <c r="A108" s="22" t="s">
        <v>23</v>
      </c>
      <c r="B108" s="1">
        <v>2.0</v>
      </c>
      <c r="C108" s="22" t="s">
        <v>461</v>
      </c>
      <c r="D108" s="16">
        <v>24.1</v>
      </c>
      <c r="E108" s="16">
        <v>4.1</v>
      </c>
      <c r="F108" s="16">
        <v>723.0</v>
      </c>
      <c r="G108" s="22">
        <v>313.0</v>
      </c>
      <c r="H108" s="8">
        <v>718.2971977738778</v>
      </c>
      <c r="I108" s="8">
        <v>-4.70280222612223</v>
      </c>
      <c r="T108" s="22" t="s">
        <v>26</v>
      </c>
      <c r="U108" s="1">
        <v>4.0</v>
      </c>
      <c r="V108" s="22" t="str">
        <f t="shared" si="14"/>
        <v>Bluewater Kayaks 4</v>
      </c>
      <c r="W108" s="16">
        <f t="shared" si="15"/>
        <v>44.05</v>
      </c>
      <c r="X108" s="16">
        <v>4.05</v>
      </c>
      <c r="Y108" s="16">
        <v>698.0</v>
      </c>
      <c r="Z108" s="22">
        <v>336.0</v>
      </c>
      <c r="AA108" s="8">
        <f t="shared" si="16"/>
        <v>704.1035691</v>
      </c>
      <c r="AB108" s="16">
        <f t="shared" si="17"/>
        <v>-6.103569138</v>
      </c>
    </row>
    <row r="109">
      <c r="A109" s="22" t="s">
        <v>24</v>
      </c>
      <c r="B109" s="1">
        <v>2.0</v>
      </c>
      <c r="C109" s="22" t="s">
        <v>462</v>
      </c>
      <c r="D109" s="16">
        <v>22.4</v>
      </c>
      <c r="E109" s="16">
        <v>2.4</v>
      </c>
      <c r="F109" s="16">
        <v>599.0</v>
      </c>
      <c r="G109" s="22">
        <v>331.0</v>
      </c>
      <c r="H109" s="8">
        <v>594.4084125503196</v>
      </c>
      <c r="I109" s="8">
        <v>-4.591587449680446</v>
      </c>
      <c r="T109" s="22" t="s">
        <v>12</v>
      </c>
      <c r="U109" s="1">
        <v>4.0</v>
      </c>
      <c r="V109" s="22" t="str">
        <f t="shared" si="14"/>
        <v>Crystal Crest Kayaks 4</v>
      </c>
      <c r="W109" s="16">
        <f t="shared" si="15"/>
        <v>44.1</v>
      </c>
      <c r="X109" s="16">
        <v>4.1</v>
      </c>
      <c r="Y109" s="16">
        <v>724.0</v>
      </c>
      <c r="Z109" s="22">
        <v>405.0</v>
      </c>
      <c r="AA109" s="8">
        <f t="shared" si="16"/>
        <v>707.6687089</v>
      </c>
      <c r="AB109" s="16">
        <f t="shared" si="17"/>
        <v>16.33129108</v>
      </c>
    </row>
    <row r="110">
      <c r="A110" s="22" t="s">
        <v>25</v>
      </c>
      <c r="B110" s="1">
        <v>4.0</v>
      </c>
      <c r="C110" s="22" t="s">
        <v>463</v>
      </c>
      <c r="D110" s="16">
        <v>42.58</v>
      </c>
      <c r="E110" s="16">
        <v>2.58</v>
      </c>
      <c r="F110" s="16">
        <v>608.0</v>
      </c>
      <c r="G110" s="22">
        <v>459.0</v>
      </c>
      <c r="H110" s="8">
        <v>607.5260486328139</v>
      </c>
      <c r="I110" s="8">
        <v>-0.47395136718614594</v>
      </c>
    </row>
    <row r="111">
      <c r="A111" s="22" t="s">
        <v>29</v>
      </c>
      <c r="B111" s="1">
        <v>3.0</v>
      </c>
      <c r="C111" s="22" t="s">
        <v>464</v>
      </c>
      <c r="D111" s="16">
        <v>33.45</v>
      </c>
      <c r="E111" s="16">
        <v>3.45</v>
      </c>
      <c r="F111" s="16">
        <v>669.0</v>
      </c>
      <c r="G111" s="22">
        <v>663.0</v>
      </c>
      <c r="H111" s="8">
        <v>670.9279563648702</v>
      </c>
      <c r="I111" s="8">
        <v>1.9279563648701696</v>
      </c>
      <c r="T111" s="22">
        <f t="array" ref="T111:U111">LINEST(Y104:Y109,X104:X109)</f>
        <v>71.30279562</v>
      </c>
      <c r="U111" s="22">
        <v>415.3272468645703</v>
      </c>
    </row>
    <row r="112">
      <c r="A112" s="22" t="s">
        <v>29</v>
      </c>
      <c r="B112" s="1">
        <v>2.0</v>
      </c>
      <c r="C112" s="22" t="s">
        <v>465</v>
      </c>
      <c r="D112" s="16">
        <v>23.5</v>
      </c>
      <c r="E112" s="16">
        <v>3.5</v>
      </c>
      <c r="F112" s="16">
        <v>669.0</v>
      </c>
      <c r="G112" s="22">
        <v>342.0</v>
      </c>
      <c r="H112" s="8">
        <v>674.5717441655631</v>
      </c>
      <c r="I112" s="8">
        <v>5.571744165563132</v>
      </c>
      <c r="T112" s="22">
        <f>CORREL(Z104:Z109,AB104:AB109)</f>
        <v>0.1910354765</v>
      </c>
    </row>
    <row r="113">
      <c r="A113" s="22" t="s">
        <v>22</v>
      </c>
      <c r="B113" s="1">
        <v>3.0</v>
      </c>
      <c r="C113" s="22" t="s">
        <v>466</v>
      </c>
      <c r="D113" s="16">
        <v>33.8</v>
      </c>
      <c r="E113" s="16">
        <v>3.8</v>
      </c>
      <c r="F113" s="16">
        <v>690.0</v>
      </c>
      <c r="G113" s="22">
        <v>342.0</v>
      </c>
      <c r="H113" s="8">
        <v>696.4344709697205</v>
      </c>
      <c r="I113" s="8">
        <v>6.434470969720451</v>
      </c>
    </row>
    <row r="114">
      <c r="A114" s="22" t="s">
        <v>22</v>
      </c>
      <c r="B114" s="1">
        <v>4.0</v>
      </c>
      <c r="C114" s="22" t="s">
        <v>467</v>
      </c>
      <c r="D114" s="16">
        <v>43.9</v>
      </c>
      <c r="E114" s="16">
        <v>3.9</v>
      </c>
      <c r="F114" s="16">
        <v>690.0</v>
      </c>
      <c r="G114" s="22">
        <v>455.0</v>
      </c>
      <c r="H114" s="8">
        <v>703.7220465711061</v>
      </c>
      <c r="I114" s="8">
        <v>13.722046571106148</v>
      </c>
    </row>
    <row r="115">
      <c r="A115" s="22" t="s">
        <v>25</v>
      </c>
      <c r="B115" s="1">
        <v>3.0</v>
      </c>
      <c r="C115" s="22" t="s">
        <v>468</v>
      </c>
      <c r="D115" s="16">
        <v>32.625</v>
      </c>
      <c r="E115" s="16">
        <v>2.625</v>
      </c>
      <c r="F115" s="16">
        <v>597.0</v>
      </c>
      <c r="G115" s="22">
        <v>618.0</v>
      </c>
      <c r="H115" s="8">
        <v>610.8054576534375</v>
      </c>
      <c r="I115" s="8">
        <v>13.805457653437543</v>
      </c>
    </row>
    <row r="116">
      <c r="A116" s="22" t="s">
        <v>16</v>
      </c>
      <c r="B116" s="1">
        <v>2.0</v>
      </c>
      <c r="C116" s="22" t="s">
        <v>469</v>
      </c>
      <c r="D116" s="16">
        <v>22.95</v>
      </c>
      <c r="E116" s="16">
        <v>2.95</v>
      </c>
      <c r="F116" s="16">
        <v>620.0</v>
      </c>
      <c r="G116" s="22">
        <v>322.0</v>
      </c>
      <c r="H116" s="8">
        <v>634.4900783579413</v>
      </c>
      <c r="I116" s="8">
        <v>14.490078357941343</v>
      </c>
    </row>
    <row r="117">
      <c r="A117" s="22" t="s">
        <v>25</v>
      </c>
      <c r="B117" s="1">
        <v>2.0</v>
      </c>
      <c r="C117" s="22" t="s">
        <v>470</v>
      </c>
      <c r="D117" s="16">
        <v>22.675</v>
      </c>
      <c r="E117" s="16">
        <v>2.675</v>
      </c>
      <c r="F117" s="16">
        <v>599.0</v>
      </c>
      <c r="G117" s="22">
        <v>317.0</v>
      </c>
      <c r="H117" s="8">
        <v>614.4492454541304</v>
      </c>
      <c r="I117" s="8">
        <v>15.449245454130391</v>
      </c>
    </row>
    <row r="118">
      <c r="A118" s="22" t="s">
        <v>26</v>
      </c>
      <c r="B118" s="1">
        <v>4.0</v>
      </c>
      <c r="C118" s="22" t="s">
        <v>471</v>
      </c>
      <c r="D118" s="16">
        <v>44.05</v>
      </c>
      <c r="E118" s="16">
        <v>4.05</v>
      </c>
      <c r="F118" s="16">
        <v>698.0</v>
      </c>
      <c r="G118" s="22">
        <v>336.0</v>
      </c>
      <c r="H118" s="8">
        <v>714.6534099731848</v>
      </c>
      <c r="I118" s="8">
        <v>16.653409973184807</v>
      </c>
    </row>
    <row r="119">
      <c r="A119" s="22" t="s">
        <v>27</v>
      </c>
      <c r="B119" s="1">
        <v>4.0</v>
      </c>
      <c r="C119" s="22" t="s">
        <v>472</v>
      </c>
      <c r="D119" s="16">
        <v>43.53</v>
      </c>
      <c r="E119" s="16">
        <v>3.53</v>
      </c>
      <c r="F119" s="16">
        <v>660.0</v>
      </c>
      <c r="G119" s="22">
        <v>289.0</v>
      </c>
      <c r="H119" s="8">
        <v>676.7580168459788</v>
      </c>
      <c r="I119" s="8">
        <v>16.758016845978773</v>
      </c>
    </row>
    <row r="120">
      <c r="A120" s="22" t="s">
        <v>16</v>
      </c>
      <c r="B120" s="1">
        <v>4.0</v>
      </c>
      <c r="C120" s="22" t="s">
        <v>473</v>
      </c>
      <c r="D120" s="16">
        <v>43.13</v>
      </c>
      <c r="E120" s="16">
        <v>3.13</v>
      </c>
      <c r="F120" s="16">
        <v>630.0</v>
      </c>
      <c r="G120" s="22">
        <v>495.0</v>
      </c>
      <c r="H120" s="8">
        <v>647.6077144404356</v>
      </c>
      <c r="I120" s="8">
        <v>17.607714440435643</v>
      </c>
    </row>
    <row r="121">
      <c r="A121" s="22" t="s">
        <v>27</v>
      </c>
      <c r="B121" s="1">
        <v>3.0</v>
      </c>
      <c r="C121" s="22" t="s">
        <v>474</v>
      </c>
      <c r="D121" s="16">
        <v>33.525</v>
      </c>
      <c r="E121" s="16">
        <v>3.525</v>
      </c>
      <c r="F121" s="16">
        <v>656.0</v>
      </c>
      <c r="G121" s="22">
        <v>289.0</v>
      </c>
      <c r="H121" s="8">
        <v>676.3936380659095</v>
      </c>
      <c r="I121" s="8">
        <v>20.3936380659095</v>
      </c>
    </row>
    <row r="125">
      <c r="C125" s="22">
        <f t="array" ref="C125:D125">LINEST(G99:G121,I99:I121)</f>
        <v>-3.704131252</v>
      </c>
      <c r="D125" s="22">
        <v>443.956521739131</v>
      </c>
    </row>
    <row r="126">
      <c r="C126" s="22">
        <f> CORREL(G99:G121,I99:I121)</f>
        <v>-0.29700114</v>
      </c>
    </row>
  </sheetData>
  <autoFilter ref="$A$1:$I$24">
    <sortState ref="A1:I24">
      <sortCondition ref="B1:B24"/>
    </sortState>
  </autoFil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475</v>
      </c>
      <c r="C1" s="1" t="s">
        <v>4</v>
      </c>
      <c r="D1" s="1" t="s">
        <v>5</v>
      </c>
      <c r="E1" s="1" t="s">
        <v>114</v>
      </c>
      <c r="F1" s="1" t="s">
        <v>476</v>
      </c>
      <c r="G1" s="1" t="s">
        <v>450</v>
      </c>
      <c r="H1" s="1" t="s">
        <v>11</v>
      </c>
    </row>
    <row r="2">
      <c r="A2" s="22" t="s">
        <v>24</v>
      </c>
      <c r="B2" s="1">
        <v>5.0</v>
      </c>
      <c r="C2" s="16">
        <v>2.725</v>
      </c>
      <c r="D2" s="16">
        <v>550.0</v>
      </c>
      <c r="E2" s="25">
        <v>3263.0</v>
      </c>
      <c r="F2" s="22">
        <f t="shared" ref="F2:F25" si="1">C2*$B$32+$C$32</f>
        <v>571.9953074</v>
      </c>
      <c r="G2" s="16">
        <f t="shared" ref="G2:G25" si="2">D2-F2</f>
        <v>-21.99530737</v>
      </c>
      <c r="H2" s="21">
        <v>10.0</v>
      </c>
    </row>
    <row r="3">
      <c r="A3" s="22" t="s">
        <v>24</v>
      </c>
      <c r="B3" s="1">
        <v>4.0</v>
      </c>
      <c r="C3" s="16">
        <v>2.775</v>
      </c>
      <c r="D3" s="15">
        <v>610.0</v>
      </c>
      <c r="E3" s="25">
        <v>2484.0</v>
      </c>
      <c r="F3" s="22">
        <f t="shared" si="1"/>
        <v>573.1750352</v>
      </c>
      <c r="G3" s="16">
        <f t="shared" si="2"/>
        <v>36.82496481</v>
      </c>
      <c r="H3" s="22">
        <v>10.0</v>
      </c>
    </row>
    <row r="4">
      <c r="A4" s="22" t="s">
        <v>24</v>
      </c>
      <c r="B4" s="1">
        <v>3.0</v>
      </c>
      <c r="C4" s="16">
        <v>2.8</v>
      </c>
      <c r="D4" s="17">
        <v>528.0</v>
      </c>
      <c r="E4" s="22">
        <v>355.0</v>
      </c>
      <c r="F4" s="22">
        <f t="shared" si="1"/>
        <v>573.7648991</v>
      </c>
      <c r="G4" s="23">
        <f t="shared" si="2"/>
        <v>-45.76489911</v>
      </c>
      <c r="H4" s="22">
        <v>8.0</v>
      </c>
    </row>
    <row r="5">
      <c r="A5" s="22" t="s">
        <v>32</v>
      </c>
      <c r="B5" s="1">
        <v>5.0</v>
      </c>
      <c r="C5" s="16">
        <v>3.125</v>
      </c>
      <c r="D5" s="16">
        <v>645.0</v>
      </c>
      <c r="E5" s="25">
        <v>2059.0</v>
      </c>
      <c r="F5" s="22">
        <f t="shared" si="1"/>
        <v>581.43313</v>
      </c>
      <c r="G5" s="16">
        <f t="shared" si="2"/>
        <v>63.56687001</v>
      </c>
      <c r="H5" s="21">
        <v>15.0</v>
      </c>
    </row>
    <row r="6">
      <c r="A6" s="22" t="s">
        <v>16</v>
      </c>
      <c r="B6" s="1">
        <v>4.0</v>
      </c>
      <c r="C6" s="16">
        <v>3.35</v>
      </c>
      <c r="D6" s="15">
        <v>660.0</v>
      </c>
      <c r="E6" s="22">
        <v>495.0</v>
      </c>
      <c r="F6" s="22">
        <f t="shared" si="1"/>
        <v>586.7419052</v>
      </c>
      <c r="G6" s="16">
        <f t="shared" si="2"/>
        <v>73.25809479</v>
      </c>
      <c r="H6" s="22">
        <v>14.0</v>
      </c>
    </row>
    <row r="7">
      <c r="A7" s="22" t="s">
        <v>20</v>
      </c>
      <c r="B7" s="1">
        <v>3.0</v>
      </c>
      <c r="C7" s="16">
        <v>3.425</v>
      </c>
      <c r="D7" s="17">
        <v>590.0</v>
      </c>
      <c r="E7" s="22">
        <v>751.0</v>
      </c>
      <c r="F7" s="22">
        <f t="shared" si="1"/>
        <v>588.5114969</v>
      </c>
      <c r="G7" s="23">
        <f t="shared" si="2"/>
        <v>1.48850305</v>
      </c>
      <c r="H7" s="22">
        <v>3.0</v>
      </c>
    </row>
    <row r="8">
      <c r="A8" s="22" t="s">
        <v>20</v>
      </c>
      <c r="B8" s="1">
        <v>4.0</v>
      </c>
      <c r="C8" s="16">
        <v>3.55</v>
      </c>
      <c r="D8" s="15">
        <v>620.0</v>
      </c>
      <c r="E8" s="25">
        <v>4590.0</v>
      </c>
      <c r="F8" s="22">
        <f t="shared" si="1"/>
        <v>591.4608165</v>
      </c>
      <c r="G8" s="16">
        <f t="shared" si="2"/>
        <v>28.53918348</v>
      </c>
      <c r="H8" s="22">
        <v>6.0</v>
      </c>
    </row>
    <row r="9">
      <c r="A9" s="22" t="s">
        <v>16</v>
      </c>
      <c r="B9" s="1">
        <v>5.0</v>
      </c>
      <c r="C9" s="16">
        <v>3.625</v>
      </c>
      <c r="D9" s="16">
        <v>625.0</v>
      </c>
      <c r="E9" s="25">
        <v>3350.0</v>
      </c>
      <c r="F9" s="22">
        <f t="shared" si="1"/>
        <v>593.2304083</v>
      </c>
      <c r="G9" s="16">
        <f t="shared" si="2"/>
        <v>31.76959174</v>
      </c>
      <c r="H9" s="21">
        <v>12.0</v>
      </c>
    </row>
    <row r="10">
      <c r="A10" s="22" t="s">
        <v>30</v>
      </c>
      <c r="B10" s="1">
        <v>3.0</v>
      </c>
      <c r="C10" s="16">
        <v>3.7</v>
      </c>
      <c r="D10" s="17">
        <v>615.0</v>
      </c>
      <c r="E10" s="25">
        <v>1384.0</v>
      </c>
      <c r="F10" s="22">
        <f t="shared" si="1"/>
        <v>595</v>
      </c>
      <c r="G10" s="23">
        <f t="shared" si="2"/>
        <v>20</v>
      </c>
      <c r="H10" s="22">
        <v>9.0</v>
      </c>
    </row>
    <row r="11">
      <c r="A11" s="22" t="s">
        <v>30</v>
      </c>
      <c r="B11" s="1">
        <v>4.0</v>
      </c>
      <c r="C11" s="16">
        <v>3.725</v>
      </c>
      <c r="D11" s="15">
        <v>615.0</v>
      </c>
      <c r="E11" s="25">
        <v>4023.0</v>
      </c>
      <c r="F11" s="22">
        <f t="shared" si="1"/>
        <v>595.5898639</v>
      </c>
      <c r="G11" s="16">
        <f t="shared" si="2"/>
        <v>19.41013609</v>
      </c>
      <c r="H11" s="22">
        <v>12.0</v>
      </c>
    </row>
    <row r="12">
      <c r="A12" s="22" t="s">
        <v>12</v>
      </c>
      <c r="B12" s="1">
        <v>5.0</v>
      </c>
      <c r="C12" s="16">
        <v>3.8</v>
      </c>
      <c r="D12" s="16">
        <v>501.0</v>
      </c>
      <c r="E12" s="25">
        <v>1632.0</v>
      </c>
      <c r="F12" s="22">
        <f t="shared" si="1"/>
        <v>597.3594557</v>
      </c>
      <c r="G12" s="16">
        <f t="shared" si="2"/>
        <v>-96.35945565</v>
      </c>
      <c r="H12" s="21">
        <v>4.0</v>
      </c>
    </row>
    <row r="13">
      <c r="A13" s="22" t="s">
        <v>20</v>
      </c>
      <c r="B13" s="1">
        <v>5.0</v>
      </c>
      <c r="C13" s="16">
        <v>3.8</v>
      </c>
      <c r="D13" s="16">
        <v>530.0</v>
      </c>
      <c r="E13" s="25">
        <v>1479.0</v>
      </c>
      <c r="F13" s="22">
        <f t="shared" si="1"/>
        <v>597.3594557</v>
      </c>
      <c r="G13" s="16">
        <f t="shared" si="2"/>
        <v>-67.35945565</v>
      </c>
      <c r="H13" s="21">
        <v>7.0</v>
      </c>
    </row>
    <row r="14">
      <c r="A14" s="22" t="s">
        <v>22</v>
      </c>
      <c r="B14" s="1">
        <v>3.0</v>
      </c>
      <c r="C14" s="16">
        <v>3.8</v>
      </c>
      <c r="D14" s="17">
        <v>546.0</v>
      </c>
      <c r="E14" s="22">
        <v>342.0</v>
      </c>
      <c r="F14" s="22">
        <f t="shared" si="1"/>
        <v>597.3594557</v>
      </c>
      <c r="G14" s="23">
        <f t="shared" si="2"/>
        <v>-51.35945565</v>
      </c>
      <c r="H14" s="22">
        <v>10.0</v>
      </c>
    </row>
    <row r="15">
      <c r="A15" s="22" t="s">
        <v>22</v>
      </c>
      <c r="B15" s="1">
        <v>4.0</v>
      </c>
      <c r="C15" s="16">
        <v>3.825</v>
      </c>
      <c r="D15" s="15">
        <v>546.0</v>
      </c>
      <c r="E15" s="22">
        <v>455.0</v>
      </c>
      <c r="F15" s="22">
        <f t="shared" si="1"/>
        <v>597.9493196</v>
      </c>
      <c r="G15" s="16">
        <f t="shared" si="2"/>
        <v>-51.94931957</v>
      </c>
      <c r="H15" s="22">
        <v>8.0</v>
      </c>
    </row>
    <row r="16">
      <c r="A16" s="22" t="s">
        <v>22</v>
      </c>
      <c r="B16" s="1">
        <v>5.0</v>
      </c>
      <c r="C16" s="16">
        <v>3.85</v>
      </c>
      <c r="D16" s="16">
        <v>560.0</v>
      </c>
      <c r="E16" s="22">
        <v>523.0</v>
      </c>
      <c r="F16" s="22">
        <f t="shared" si="1"/>
        <v>598.5391835</v>
      </c>
      <c r="G16" s="16">
        <f t="shared" si="2"/>
        <v>-38.53918348</v>
      </c>
      <c r="H16" s="21">
        <v>6.0</v>
      </c>
    </row>
    <row r="17">
      <c r="A17" s="22" t="s">
        <v>27</v>
      </c>
      <c r="B17" s="1">
        <v>5.0</v>
      </c>
      <c r="C17" s="16">
        <v>3.85</v>
      </c>
      <c r="D17" s="16">
        <v>621.0</v>
      </c>
      <c r="E17" s="22">
        <v>336.0</v>
      </c>
      <c r="F17" s="22">
        <f t="shared" si="1"/>
        <v>598.5391835</v>
      </c>
      <c r="G17" s="16">
        <f t="shared" si="2"/>
        <v>22.46081652</v>
      </c>
      <c r="H17" s="21">
        <v>9.0</v>
      </c>
    </row>
    <row r="18">
      <c r="A18" s="22" t="s">
        <v>12</v>
      </c>
      <c r="B18" s="1">
        <v>4.0</v>
      </c>
      <c r="C18" s="16">
        <v>3.85</v>
      </c>
      <c r="D18" s="15">
        <v>501.0</v>
      </c>
      <c r="E18" s="22">
        <v>405.0</v>
      </c>
      <c r="F18" s="22">
        <f t="shared" si="1"/>
        <v>598.5391835</v>
      </c>
      <c r="G18" s="16">
        <f t="shared" si="2"/>
        <v>-97.53918348</v>
      </c>
      <c r="H18" s="22">
        <v>5.0</v>
      </c>
    </row>
    <row r="19">
      <c r="A19" s="22" t="s">
        <v>30</v>
      </c>
      <c r="B19" s="1">
        <v>5.0</v>
      </c>
      <c r="C19" s="16">
        <v>3.875</v>
      </c>
      <c r="D19" s="16">
        <v>635.0</v>
      </c>
      <c r="E19" s="25">
        <v>4590.0</v>
      </c>
      <c r="F19" s="22">
        <f t="shared" si="1"/>
        <v>599.1290474</v>
      </c>
      <c r="G19" s="16">
        <f t="shared" si="2"/>
        <v>35.8709526</v>
      </c>
      <c r="H19" s="21">
        <v>13.0</v>
      </c>
    </row>
    <row r="20">
      <c r="A20" s="22" t="s">
        <v>28</v>
      </c>
      <c r="B20" s="1">
        <v>4.0</v>
      </c>
      <c r="C20" s="16">
        <v>3.875</v>
      </c>
      <c r="D20" s="15">
        <v>610.0</v>
      </c>
      <c r="E20" s="25">
        <v>2346.0</v>
      </c>
      <c r="F20" s="22">
        <f t="shared" si="1"/>
        <v>599.1290474</v>
      </c>
      <c r="G20" s="16">
        <f t="shared" si="2"/>
        <v>10.8709526</v>
      </c>
      <c r="H20" s="22">
        <v>13.0</v>
      </c>
    </row>
    <row r="21">
      <c r="A21" s="22" t="s">
        <v>28</v>
      </c>
      <c r="B21" s="1">
        <v>5.0</v>
      </c>
      <c r="C21" s="16">
        <v>4.0</v>
      </c>
      <c r="D21" s="16">
        <v>590.0</v>
      </c>
      <c r="E21" s="22">
        <v>289.0</v>
      </c>
      <c r="F21" s="22">
        <f t="shared" si="1"/>
        <v>602.078367</v>
      </c>
      <c r="G21" s="16">
        <f t="shared" si="2"/>
        <v>-12.07836696</v>
      </c>
      <c r="H21" s="21">
        <v>14.0</v>
      </c>
    </row>
    <row r="22">
      <c r="A22" s="22" t="s">
        <v>33</v>
      </c>
      <c r="B22" s="1">
        <v>4.0</v>
      </c>
      <c r="C22" s="16">
        <v>4.175</v>
      </c>
      <c r="D22" s="15">
        <v>670.0</v>
      </c>
      <c r="E22" s="25">
        <v>3674.0</v>
      </c>
      <c r="F22" s="22">
        <f t="shared" si="1"/>
        <v>606.2074144</v>
      </c>
      <c r="G22" s="16">
        <f t="shared" si="2"/>
        <v>63.79258564</v>
      </c>
      <c r="H22" s="22">
        <v>4.0</v>
      </c>
    </row>
    <row r="23">
      <c r="A23" s="22" t="s">
        <v>33</v>
      </c>
      <c r="B23" s="1">
        <v>5.0</v>
      </c>
      <c r="C23" s="16">
        <v>4.25</v>
      </c>
      <c r="D23" s="16">
        <v>650.0</v>
      </c>
      <c r="E23" s="25">
        <v>5034.0</v>
      </c>
      <c r="F23" s="22">
        <f t="shared" si="1"/>
        <v>607.9770061</v>
      </c>
      <c r="G23" s="16">
        <f t="shared" si="2"/>
        <v>42.0229939</v>
      </c>
      <c r="H23" s="21">
        <v>8.0</v>
      </c>
    </row>
    <row r="24">
      <c r="A24" s="22" t="s">
        <v>31</v>
      </c>
      <c r="B24" s="1">
        <v>4.0</v>
      </c>
      <c r="C24" s="16">
        <v>4.525</v>
      </c>
      <c r="D24" s="15">
        <v>660.0</v>
      </c>
      <c r="E24" s="25">
        <v>1335.0</v>
      </c>
      <c r="F24" s="22">
        <f t="shared" si="1"/>
        <v>614.4655092</v>
      </c>
      <c r="G24" s="16">
        <f t="shared" si="2"/>
        <v>45.53449085</v>
      </c>
      <c r="H24" s="22">
        <v>11.0</v>
      </c>
    </row>
    <row r="25">
      <c r="A25" s="22" t="s">
        <v>31</v>
      </c>
      <c r="B25" s="1">
        <v>5.0</v>
      </c>
      <c r="C25" s="16">
        <v>4.525</v>
      </c>
      <c r="D25" s="16">
        <v>602.0</v>
      </c>
      <c r="E25" s="22">
        <v>441.0</v>
      </c>
      <c r="F25" s="22">
        <f t="shared" si="1"/>
        <v>614.4655092</v>
      </c>
      <c r="G25" s="16">
        <f t="shared" si="2"/>
        <v>-12.46550915</v>
      </c>
      <c r="H25" s="21">
        <v>11.0</v>
      </c>
    </row>
    <row r="27">
      <c r="B27" s="22">
        <f t="array" ref="B27:C27">LINEST(E2:E25,D2:D25)</f>
        <v>14.27302832</v>
      </c>
      <c r="C27" s="22">
        <v>-6590.993515014303</v>
      </c>
    </row>
    <row r="28">
      <c r="A28" s="1" t="s">
        <v>477</v>
      </c>
      <c r="B28" s="22">
        <f>CORREL(E2:E25,D2:D25)</f>
        <v>0.4528153529</v>
      </c>
    </row>
    <row r="29">
      <c r="A29" s="1" t="s">
        <v>478</v>
      </c>
      <c r="B29" s="22">
        <f>CORREL(D2:D25,C2:C25)</f>
        <v>0.2238498027</v>
      </c>
    </row>
    <row r="30">
      <c r="A30" s="1" t="s">
        <v>479</v>
      </c>
      <c r="B30" s="1">
        <f>CORREL(E2:E25,C2:C25)</f>
        <v>-0.0186539428</v>
      </c>
    </row>
    <row r="32">
      <c r="B32" s="22">
        <f t="array" ref="B32:C32">LINEST(D2:D25,C2:C25)</f>
        <v>23.59455655</v>
      </c>
      <c r="C32" s="22">
        <v>507.7001407789769</v>
      </c>
    </row>
    <row r="33">
      <c r="A33" s="1" t="s">
        <v>480</v>
      </c>
      <c r="B33" s="22">
        <f>CORREL(E2:E25,G2:G25)</f>
        <v>0.4688897429</v>
      </c>
    </row>
    <row r="39">
      <c r="A39" s="46" t="s">
        <v>0</v>
      </c>
      <c r="B39" s="46" t="s">
        <v>475</v>
      </c>
      <c r="C39" s="46" t="s">
        <v>4</v>
      </c>
      <c r="D39" s="46" t="s">
        <v>5</v>
      </c>
      <c r="E39" s="46" t="s">
        <v>114</v>
      </c>
      <c r="F39" s="46" t="s">
        <v>476</v>
      </c>
      <c r="G39" s="46" t="s">
        <v>450</v>
      </c>
      <c r="H39" s="46" t="s">
        <v>11</v>
      </c>
    </row>
    <row r="40">
      <c r="A40" s="26" t="s">
        <v>22</v>
      </c>
      <c r="B40" s="47">
        <v>5.0</v>
      </c>
      <c r="C40" s="48">
        <v>3.85</v>
      </c>
      <c r="D40" s="48">
        <v>560.0</v>
      </c>
      <c r="E40" s="47">
        <v>523.0</v>
      </c>
      <c r="F40" s="47">
        <f t="shared" ref="F40:F49" si="3">$C$40*B53+$C$53</f>
        <v>575.8711992</v>
      </c>
      <c r="G40" s="48">
        <f t="shared" ref="G40:G49" si="4">F40-D40</f>
        <v>15.87119917</v>
      </c>
      <c r="H40" s="51">
        <v>6.0</v>
      </c>
    </row>
    <row r="41">
      <c r="A41" s="26" t="s">
        <v>28</v>
      </c>
      <c r="B41" s="47">
        <v>5.0</v>
      </c>
      <c r="C41" s="48">
        <v>4.0</v>
      </c>
      <c r="D41" s="48">
        <v>590.0</v>
      </c>
      <c r="E41" s="47">
        <v>289.0</v>
      </c>
      <c r="F41" s="47">
        <f t="shared" si="3"/>
        <v>529.633511</v>
      </c>
      <c r="G41" s="48">
        <f t="shared" si="4"/>
        <v>-60.36648899</v>
      </c>
      <c r="H41" s="51">
        <v>14.0</v>
      </c>
    </row>
    <row r="42">
      <c r="A42" s="26" t="s">
        <v>31</v>
      </c>
      <c r="B42" s="47">
        <v>5.0</v>
      </c>
      <c r="C42" s="48">
        <v>4.525</v>
      </c>
      <c r="D42" s="48">
        <v>602.0</v>
      </c>
      <c r="E42" s="47">
        <v>441.0</v>
      </c>
      <c r="F42" s="47">
        <f t="shared" si="3"/>
        <v>529.633511</v>
      </c>
      <c r="G42" s="48">
        <f t="shared" si="4"/>
        <v>-72.36648899</v>
      </c>
      <c r="H42" s="51">
        <v>11.0</v>
      </c>
    </row>
    <row r="43">
      <c r="A43" s="26" t="s">
        <v>27</v>
      </c>
      <c r="B43" s="47">
        <v>5.0</v>
      </c>
      <c r="C43" s="48">
        <v>3.85</v>
      </c>
      <c r="D43" s="48">
        <v>621.0</v>
      </c>
      <c r="E43" s="47">
        <v>336.0</v>
      </c>
      <c r="F43" s="47">
        <f t="shared" si="3"/>
        <v>529.633511</v>
      </c>
      <c r="G43" s="48">
        <f t="shared" si="4"/>
        <v>-91.36648899</v>
      </c>
      <c r="H43" s="51">
        <v>9.0</v>
      </c>
    </row>
    <row r="44">
      <c r="A44" s="26" t="s">
        <v>12</v>
      </c>
      <c r="B44" s="47">
        <v>4.0</v>
      </c>
      <c r="C44" s="48">
        <v>3.85</v>
      </c>
      <c r="D44" s="48">
        <v>501.0</v>
      </c>
      <c r="E44" s="47">
        <v>405.0</v>
      </c>
      <c r="F44" s="47">
        <f t="shared" si="3"/>
        <v>529.633511</v>
      </c>
      <c r="G44" s="48">
        <f t="shared" si="4"/>
        <v>28.63351101</v>
      </c>
      <c r="H44" s="47">
        <v>5.0</v>
      </c>
    </row>
    <row r="45">
      <c r="A45" s="26" t="s">
        <v>22</v>
      </c>
      <c r="B45" s="47">
        <v>4.0</v>
      </c>
      <c r="C45" s="48">
        <v>3.825</v>
      </c>
      <c r="D45" s="48">
        <v>546.0</v>
      </c>
      <c r="E45" s="47">
        <v>455.0</v>
      </c>
      <c r="F45" s="47">
        <f t="shared" si="3"/>
        <v>529.633511</v>
      </c>
      <c r="G45" s="48">
        <f t="shared" si="4"/>
        <v>-16.36648899</v>
      </c>
      <c r="H45" s="47">
        <v>8.0</v>
      </c>
    </row>
    <row r="46">
      <c r="A46" s="26" t="s">
        <v>16</v>
      </c>
      <c r="B46" s="47">
        <v>4.0</v>
      </c>
      <c r="C46" s="48">
        <v>3.35</v>
      </c>
      <c r="D46" s="48">
        <v>660.0</v>
      </c>
      <c r="E46" s="47">
        <v>495.0</v>
      </c>
      <c r="F46" s="47">
        <f t="shared" si="3"/>
        <v>529.633511</v>
      </c>
      <c r="G46" s="48">
        <f t="shared" si="4"/>
        <v>-130.366489</v>
      </c>
      <c r="H46" s="47">
        <v>14.0</v>
      </c>
    </row>
    <row r="47">
      <c r="A47" s="26" t="s">
        <v>20</v>
      </c>
      <c r="B47" s="47">
        <v>3.0</v>
      </c>
      <c r="C47" s="48">
        <v>3.425</v>
      </c>
      <c r="D47" s="52">
        <v>590.0</v>
      </c>
      <c r="E47" s="47">
        <v>751.0</v>
      </c>
      <c r="F47" s="47">
        <f t="shared" si="3"/>
        <v>529.633511</v>
      </c>
      <c r="G47" s="48">
        <f t="shared" si="4"/>
        <v>-60.36648899</v>
      </c>
      <c r="H47" s="47">
        <v>3.0</v>
      </c>
    </row>
    <row r="48">
      <c r="A48" s="26" t="s">
        <v>24</v>
      </c>
      <c r="B48" s="47">
        <v>3.0</v>
      </c>
      <c r="C48" s="48">
        <v>2.8</v>
      </c>
      <c r="D48" s="52">
        <v>528.0</v>
      </c>
      <c r="E48" s="47">
        <v>355.0</v>
      </c>
      <c r="F48" s="47">
        <f t="shared" si="3"/>
        <v>529.633511</v>
      </c>
      <c r="G48" s="48">
        <f t="shared" si="4"/>
        <v>1.633511013</v>
      </c>
      <c r="H48" s="47">
        <v>8.0</v>
      </c>
    </row>
    <row r="49">
      <c r="A49" s="26" t="s">
        <v>22</v>
      </c>
      <c r="B49" s="47">
        <v>3.0</v>
      </c>
      <c r="C49" s="48">
        <v>3.8</v>
      </c>
      <c r="D49" s="52">
        <v>546.0</v>
      </c>
      <c r="E49" s="47">
        <v>342.0</v>
      </c>
      <c r="F49" s="47">
        <f t="shared" si="3"/>
        <v>529.633511</v>
      </c>
      <c r="G49" s="48">
        <f t="shared" si="4"/>
        <v>-16.36648899</v>
      </c>
      <c r="H49" s="47">
        <v>10.0</v>
      </c>
    </row>
    <row r="51">
      <c r="A51" s="1" t="s">
        <v>481</v>
      </c>
      <c r="B51" s="22">
        <f t="array" ref="B51:C51">LINEST(E40:E49,D40:D49)</f>
        <v>0.5002983828</v>
      </c>
      <c r="C51" s="22">
        <v>151.82860893954822</v>
      </c>
    </row>
    <row r="52">
      <c r="B52" s="22">
        <f>CORREL(E40:E49,D40:D49)</f>
        <v>0.1781837743</v>
      </c>
    </row>
    <row r="53">
      <c r="A53" s="1" t="s">
        <v>482</v>
      </c>
      <c r="B53" s="22">
        <f t="array" ref="B53:C53">LINEST(D40:D49,C40:C49)</f>
        <v>12.00978913</v>
      </c>
      <c r="C53" s="22">
        <v>529.6335110127728</v>
      </c>
    </row>
  </sheetData>
  <autoFilter ref="$A$1:$H$25">
    <sortState ref="A1:H25">
      <sortCondition ref="F1:F25"/>
    </sortState>
  </autoFil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0</v>
      </c>
      <c r="B1" s="22" t="s">
        <v>446</v>
      </c>
      <c r="C1" s="22" t="s">
        <v>447</v>
      </c>
      <c r="D1" s="22" t="s">
        <v>448</v>
      </c>
      <c r="E1" s="22" t="s">
        <v>4</v>
      </c>
      <c r="F1" s="22" t="s">
        <v>5</v>
      </c>
      <c r="G1" s="22" t="s">
        <v>114</v>
      </c>
      <c r="H1" s="22" t="s">
        <v>449</v>
      </c>
      <c r="I1" s="22" t="s">
        <v>450</v>
      </c>
      <c r="J1" s="1" t="s">
        <v>483</v>
      </c>
    </row>
    <row r="2">
      <c r="A2" s="22" t="s">
        <v>24</v>
      </c>
      <c r="B2" s="22">
        <v>2.0</v>
      </c>
      <c r="C2" s="22" t="s">
        <v>462</v>
      </c>
      <c r="D2" s="16">
        <v>22.4</v>
      </c>
      <c r="E2" s="16">
        <v>2.4</v>
      </c>
      <c r="F2" s="16">
        <v>599.0</v>
      </c>
      <c r="G2" s="22">
        <v>331.0</v>
      </c>
      <c r="H2" s="8">
        <f t="shared" ref="H2:H18" si="1">C$21*E2+D$21</f>
        <v>596.4749242</v>
      </c>
      <c r="I2" s="8">
        <v>-4.591587449680446</v>
      </c>
      <c r="J2" s="22">
        <v>131.0</v>
      </c>
    </row>
    <row r="3">
      <c r="A3" s="22" t="s">
        <v>20</v>
      </c>
      <c r="B3" s="22">
        <v>2.0</v>
      </c>
      <c r="C3" s="22" t="s">
        <v>457</v>
      </c>
      <c r="D3" s="16">
        <v>22.55</v>
      </c>
      <c r="E3" s="16">
        <v>2.55</v>
      </c>
      <c r="F3" s="16">
        <v>615.0</v>
      </c>
      <c r="G3" s="22">
        <v>285.0</v>
      </c>
      <c r="H3" s="8">
        <f t="shared" si="1"/>
        <v>607.7649237</v>
      </c>
      <c r="I3" s="8">
        <v>-9.660224047601787</v>
      </c>
      <c r="J3" s="22">
        <v>85.0</v>
      </c>
    </row>
    <row r="4">
      <c r="A4" s="22" t="s">
        <v>25</v>
      </c>
      <c r="B4" s="22">
        <v>2.0</v>
      </c>
      <c r="C4" s="22" t="s">
        <v>470</v>
      </c>
      <c r="D4" s="16">
        <v>22.675</v>
      </c>
      <c r="E4" s="16">
        <v>2.675</v>
      </c>
      <c r="F4" s="16">
        <v>599.0</v>
      </c>
      <c r="G4" s="22">
        <v>317.0</v>
      </c>
      <c r="H4" s="8">
        <f t="shared" si="1"/>
        <v>617.1732567</v>
      </c>
      <c r="I4" s="8">
        <v>15.449245454130391</v>
      </c>
      <c r="J4" s="22">
        <v>117.0</v>
      </c>
    </row>
    <row r="5">
      <c r="A5" s="22" t="s">
        <v>16</v>
      </c>
      <c r="B5" s="22">
        <v>2.0</v>
      </c>
      <c r="C5" s="22" t="s">
        <v>469</v>
      </c>
      <c r="D5" s="16">
        <v>22.95</v>
      </c>
      <c r="E5" s="16">
        <v>2.95</v>
      </c>
      <c r="F5" s="16">
        <v>620.0</v>
      </c>
      <c r="G5" s="22">
        <v>322.0</v>
      </c>
      <c r="H5" s="8">
        <f t="shared" si="1"/>
        <v>637.8715891</v>
      </c>
      <c r="I5" s="8">
        <v>14.490078357941343</v>
      </c>
      <c r="J5" s="22">
        <v>122.0</v>
      </c>
    </row>
    <row r="6">
      <c r="A6" s="22" t="s">
        <v>30</v>
      </c>
      <c r="B6" s="22">
        <v>2.0</v>
      </c>
      <c r="C6" s="22" t="s">
        <v>456</v>
      </c>
      <c r="D6" s="16">
        <v>23.35</v>
      </c>
      <c r="E6" s="16">
        <v>3.35</v>
      </c>
      <c r="F6" s="16">
        <v>675.0</v>
      </c>
      <c r="G6" s="22">
        <v>318.0</v>
      </c>
      <c r="H6" s="8">
        <f t="shared" si="1"/>
        <v>667.9782545</v>
      </c>
      <c r="I6" s="8">
        <v>-11.359619236515528</v>
      </c>
      <c r="J6" s="22">
        <v>118.0</v>
      </c>
    </row>
    <row r="7">
      <c r="A7" s="22" t="s">
        <v>29</v>
      </c>
      <c r="B7" s="22">
        <v>2.0</v>
      </c>
      <c r="C7" s="22" t="s">
        <v>465</v>
      </c>
      <c r="D7" s="16">
        <v>23.5</v>
      </c>
      <c r="E7" s="16">
        <v>3.5</v>
      </c>
      <c r="F7" s="16">
        <v>669.0</v>
      </c>
      <c r="G7" s="22">
        <v>342.0</v>
      </c>
      <c r="H7" s="8">
        <f t="shared" si="1"/>
        <v>679.2682541</v>
      </c>
      <c r="I7" s="8">
        <v>5.571744165563132</v>
      </c>
      <c r="J7" s="22">
        <v>142.0</v>
      </c>
    </row>
    <row r="8">
      <c r="A8" s="22" t="s">
        <v>12</v>
      </c>
      <c r="B8" s="22">
        <v>2.0</v>
      </c>
      <c r="C8" s="22" t="s">
        <v>460</v>
      </c>
      <c r="D8" s="16">
        <v>23.775</v>
      </c>
      <c r="E8" s="16">
        <v>3.775</v>
      </c>
      <c r="F8" s="16">
        <v>700.0</v>
      </c>
      <c r="G8" s="25">
        <v>303.0</v>
      </c>
      <c r="H8" s="8">
        <f t="shared" si="1"/>
        <v>699.9665865</v>
      </c>
      <c r="I8" s="8">
        <v>-5.38742293062603</v>
      </c>
      <c r="J8" s="25">
        <v>103.0</v>
      </c>
    </row>
    <row r="9">
      <c r="A9" s="22" t="s">
        <v>26</v>
      </c>
      <c r="B9" s="22">
        <v>2.0</v>
      </c>
      <c r="C9" s="22" t="s">
        <v>451</v>
      </c>
      <c r="D9" s="16">
        <v>23.85</v>
      </c>
      <c r="E9" s="16">
        <v>3.85</v>
      </c>
      <c r="F9" s="16">
        <v>739.0</v>
      </c>
      <c r="G9" s="22">
        <v>437.0</v>
      </c>
      <c r="H9" s="8">
        <f t="shared" si="1"/>
        <v>705.6115863</v>
      </c>
      <c r="I9" s="8">
        <v>-38.9217412295867</v>
      </c>
      <c r="J9" s="22">
        <v>237.0</v>
      </c>
    </row>
    <row r="10">
      <c r="A10" s="22" t="s">
        <v>23</v>
      </c>
      <c r="B10" s="22">
        <v>2.0</v>
      </c>
      <c r="C10" s="22" t="s">
        <v>461</v>
      </c>
      <c r="D10" s="16">
        <v>24.1</v>
      </c>
      <c r="E10" s="16">
        <v>4.1</v>
      </c>
      <c r="F10" s="16">
        <v>723.0</v>
      </c>
      <c r="G10" s="22">
        <v>313.0</v>
      </c>
      <c r="H10" s="8">
        <f t="shared" si="1"/>
        <v>724.4282522</v>
      </c>
      <c r="I10" s="8">
        <v>-4.70280222612223</v>
      </c>
      <c r="J10" s="22">
        <v>113.0</v>
      </c>
    </row>
    <row r="11">
      <c r="A11" s="22" t="s">
        <v>33</v>
      </c>
      <c r="B11" s="22">
        <v>2.0</v>
      </c>
      <c r="C11" s="22" t="s">
        <v>455</v>
      </c>
      <c r="D11" s="16">
        <v>24.125</v>
      </c>
      <c r="E11" s="16">
        <v>4.125</v>
      </c>
      <c r="F11" s="16">
        <v>734.0</v>
      </c>
      <c r="G11" s="22">
        <v>962.0</v>
      </c>
      <c r="H11" s="8">
        <f t="shared" si="1"/>
        <v>726.3099188</v>
      </c>
      <c r="I11" s="8">
        <v>-13.880908325775863</v>
      </c>
      <c r="J11" s="22">
        <v>762.0</v>
      </c>
    </row>
    <row r="12">
      <c r="A12" s="22" t="s">
        <v>24</v>
      </c>
      <c r="B12" s="22">
        <v>3.0</v>
      </c>
      <c r="C12" s="22" t="s">
        <v>454</v>
      </c>
      <c r="D12" s="16">
        <v>32.45</v>
      </c>
      <c r="E12" s="16">
        <v>2.45</v>
      </c>
      <c r="F12" s="16">
        <v>615.0</v>
      </c>
      <c r="G12" s="22">
        <v>355.0</v>
      </c>
      <c r="H12" s="8">
        <f t="shared" si="1"/>
        <v>600.2382574</v>
      </c>
      <c r="I12" s="8">
        <v>-16.947799648987598</v>
      </c>
      <c r="J12" s="22">
        <v>224.0</v>
      </c>
    </row>
    <row r="13">
      <c r="A13" s="22" t="s">
        <v>20</v>
      </c>
      <c r="B13" s="22">
        <v>3.0</v>
      </c>
      <c r="C13" s="22" t="s">
        <v>452</v>
      </c>
      <c r="D13" s="16">
        <v>32.625</v>
      </c>
      <c r="E13" s="16">
        <v>2.625</v>
      </c>
      <c r="F13" s="16">
        <v>635.0</v>
      </c>
      <c r="G13" s="22">
        <v>751.0</v>
      </c>
      <c r="H13" s="8">
        <f t="shared" si="1"/>
        <v>613.4099235</v>
      </c>
      <c r="I13" s="8">
        <v>-24.194542346562457</v>
      </c>
      <c r="J13" s="22">
        <v>666.0</v>
      </c>
    </row>
    <row r="14">
      <c r="A14" s="22" t="s">
        <v>25</v>
      </c>
      <c r="B14" s="22">
        <v>3.0</v>
      </c>
      <c r="C14" s="22" t="s">
        <v>468</v>
      </c>
      <c r="D14" s="16">
        <v>32.625</v>
      </c>
      <c r="E14" s="16">
        <v>2.625</v>
      </c>
      <c r="F14" s="16">
        <v>597.0</v>
      </c>
      <c r="G14" s="22">
        <v>618.0</v>
      </c>
      <c r="H14" s="8">
        <f t="shared" si="1"/>
        <v>613.4099235</v>
      </c>
      <c r="I14" s="8">
        <v>13.805457653437543</v>
      </c>
      <c r="J14" s="22">
        <v>501.0</v>
      </c>
    </row>
    <row r="15">
      <c r="A15" s="22" t="s">
        <v>29</v>
      </c>
      <c r="B15" s="22">
        <v>3.0</v>
      </c>
      <c r="C15" s="22" t="s">
        <v>464</v>
      </c>
      <c r="D15" s="16">
        <v>33.45</v>
      </c>
      <c r="E15" s="16">
        <v>3.45</v>
      </c>
      <c r="F15" s="16">
        <v>669.0</v>
      </c>
      <c r="G15" s="22">
        <v>663.0</v>
      </c>
      <c r="H15" s="8">
        <f t="shared" si="1"/>
        <v>675.5049209</v>
      </c>
      <c r="I15" s="8">
        <v>1.9279563648701696</v>
      </c>
      <c r="J15" s="22">
        <v>521.0</v>
      </c>
    </row>
    <row r="16">
      <c r="A16" s="22" t="s">
        <v>26</v>
      </c>
      <c r="B16" s="22">
        <v>3.0</v>
      </c>
      <c r="C16" s="22" t="s">
        <v>458</v>
      </c>
      <c r="D16" s="16">
        <v>34.0</v>
      </c>
      <c r="E16" s="16">
        <v>4.0</v>
      </c>
      <c r="F16" s="16">
        <v>718.0</v>
      </c>
      <c r="G16" s="25">
        <v>824.0</v>
      </c>
      <c r="H16" s="8">
        <f t="shared" si="1"/>
        <v>716.9015858</v>
      </c>
      <c r="I16" s="8">
        <v>-6.990377827508041</v>
      </c>
      <c r="J16" s="25">
        <v>587.0</v>
      </c>
    </row>
    <row r="17">
      <c r="A17" s="22" t="s">
        <v>25</v>
      </c>
      <c r="B17" s="22">
        <v>4.0</v>
      </c>
      <c r="C17" s="22" t="s">
        <v>463</v>
      </c>
      <c r="D17" s="16">
        <v>42.58</v>
      </c>
      <c r="E17" s="16">
        <v>2.58</v>
      </c>
      <c r="F17" s="16">
        <v>608.0</v>
      </c>
      <c r="G17" s="22">
        <v>459.0</v>
      </c>
      <c r="H17" s="8">
        <f t="shared" si="1"/>
        <v>610.0229237</v>
      </c>
      <c r="I17" s="8">
        <v>-0.47395136718614594</v>
      </c>
      <c r="J17" s="22">
        <v>-42.0</v>
      </c>
    </row>
    <row r="18">
      <c r="A18" s="22" t="s">
        <v>26</v>
      </c>
      <c r="B18" s="22">
        <v>4.0</v>
      </c>
      <c r="C18" s="22" t="s">
        <v>471</v>
      </c>
      <c r="D18" s="16">
        <v>44.05</v>
      </c>
      <c r="E18" s="16">
        <v>4.05</v>
      </c>
      <c r="F18" s="16">
        <v>698.0</v>
      </c>
      <c r="G18" s="22">
        <v>336.0</v>
      </c>
      <c r="H18" s="8">
        <f t="shared" si="1"/>
        <v>720.664919</v>
      </c>
      <c r="I18" s="8">
        <v>16.653409973184807</v>
      </c>
      <c r="J18" s="25">
        <v>-251.0</v>
      </c>
    </row>
    <row r="21">
      <c r="C21" s="22">
        <f t="array" ref="C21:D21">LINEST(F2:F18,E2:E18)</f>
        <v>75.2666635</v>
      </c>
      <c r="D21" s="22">
        <v>415.83493181687203</v>
      </c>
    </row>
    <row r="22">
      <c r="C22" s="22">
        <f>CORREL(I2:I18,J2:J18)</f>
        <v>-0.3505829419</v>
      </c>
    </row>
  </sheetData>
  <drawing r:id="rId1"/>
</worksheet>
</file>