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le-breton\Documents\COURS INSA\cours 3ème année\BUSINESS GAME AVRIL MAI 2024\TRAVAUX RENDUS JEU 5 GROUPE A MIC\E3 MIC GROUPE A\"/>
    </mc:Choice>
  </mc:AlternateContent>
  <xr:revisionPtr revIDLastSave="0" documentId="8_{D28B92C5-6109-4D49-BAB3-58FF784FB46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8" i="1" l="1"/>
  <c r="I25" i="1"/>
  <c r="B25" i="1"/>
  <c r="B29" i="1" s="1"/>
  <c r="G15" i="1" s="1"/>
  <c r="I15" i="1" s="1"/>
  <c r="B24" i="1"/>
  <c r="D27" i="1" s="1"/>
  <c r="B23" i="1"/>
  <c r="G5" i="1" s="1"/>
  <c r="B22" i="1"/>
  <c r="I21" i="1"/>
  <c r="I19" i="1"/>
  <c r="B18" i="1"/>
  <c r="B17" i="1"/>
  <c r="B16" i="1"/>
  <c r="B19" i="1" s="1"/>
  <c r="G14" i="1"/>
  <c r="I14" i="1" s="1"/>
  <c r="I12" i="1"/>
  <c r="B12" i="1"/>
  <c r="G13" i="1" s="1"/>
  <c r="I13" i="1" s="1"/>
  <c r="G11" i="1"/>
  <c r="I11" i="1" s="1"/>
  <c r="G10" i="1"/>
  <c r="I10" i="1" s="1"/>
  <c r="B10" i="1"/>
  <c r="B28" i="1" s="1"/>
  <c r="I9" i="1"/>
  <c r="B7" i="1"/>
  <c r="B11" i="1" s="1"/>
  <c r="I6" i="1"/>
  <c r="G4" i="1"/>
  <c r="B4" i="1"/>
  <c r="G8" i="1" l="1"/>
  <c r="I8" i="1" s="1"/>
  <c r="G20" i="1"/>
  <c r="B27" i="1"/>
  <c r="G7" i="1" s="1"/>
  <c r="I7" i="1" s="1"/>
  <c r="I16" i="1" s="1"/>
  <c r="G16" i="1" l="1"/>
  <c r="G22" i="1"/>
  <c r="G26" i="1" s="1"/>
  <c r="I20" i="1"/>
  <c r="I22" i="1" s="1"/>
  <c r="G27" i="1" l="1"/>
  <c r="I26" i="1"/>
  <c r="G28" i="1"/>
  <c r="I28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Cecile Le-Breton</author>
  </authors>
  <commentList>
    <comment ref="G7" authorId="0" shapeId="0" xr:uid="{02C3C0A4-979D-493B-A89B-C3BD2DC5B006}">
      <text>
        <r>
          <rPr>
            <b/>
            <sz val="9"/>
            <color indexed="81"/>
            <rFont val="Tahoma"/>
          </rPr>
          <t>Cecile Le-Breton:</t>
        </r>
        <r>
          <rPr>
            <sz val="9"/>
            <color indexed="81"/>
            <rFont val="Tahoma"/>
          </rPr>
          <t xml:space="preserve">
erreur de calcul, à revoir
erreur de chiffre d'affaires
</t>
        </r>
      </text>
    </comment>
    <comment ref="G8" authorId="0" shapeId="0" xr:uid="{301F55B0-D3E9-47FA-9728-BE733160515F}">
      <text>
        <r>
          <rPr>
            <b/>
            <sz val="9"/>
            <color indexed="81"/>
            <rFont val="Tahoma"/>
          </rPr>
          <t>Cecile Le-Breton:</t>
        </r>
        <r>
          <rPr>
            <sz val="9"/>
            <color indexed="81"/>
            <rFont val="Tahoma"/>
          </rPr>
          <t xml:space="preserve">
comme le chiffre d'affaires est faux, le poste est faux
</t>
        </r>
      </text>
    </comment>
    <comment ref="G20" authorId="0" shapeId="0" xr:uid="{1DCA17F7-351A-4296-9851-5F863A9844BC}">
      <text>
        <r>
          <rPr>
            <b/>
            <sz val="9"/>
            <color indexed="81"/>
            <rFont val="Tahoma"/>
          </rPr>
          <t>Cecile Le-Breton:</t>
        </r>
        <r>
          <rPr>
            <sz val="9"/>
            <color indexed="81"/>
            <rFont val="Tahoma"/>
          </rPr>
          <t xml:space="preserve">
Chiffre d'affaires faux, revoir les quantités vendues (prix ok)
</t>
        </r>
      </text>
    </comment>
  </commentList>
</comments>
</file>

<file path=xl/sharedStrings.xml><?xml version="1.0" encoding="utf-8"?>
<sst xmlns="http://schemas.openxmlformats.org/spreadsheetml/2006/main" count="89" uniqueCount="70">
  <si>
    <t>Valeurs</t>
  </si>
  <si>
    <t>Unités</t>
  </si>
  <si>
    <t>Colonne1</t>
  </si>
  <si>
    <t xml:space="preserve">Compte de resultats </t>
  </si>
  <si>
    <t>Investissement initial en capital</t>
  </si>
  <si>
    <t>k €</t>
  </si>
  <si>
    <t>Previsions</t>
  </si>
  <si>
    <t>Realisations</t>
  </si>
  <si>
    <t>Ecarts</t>
  </si>
  <si>
    <t>Production décidée</t>
  </si>
  <si>
    <t>k unité</t>
  </si>
  <si>
    <t>CHARGES</t>
  </si>
  <si>
    <t>Points de vente</t>
  </si>
  <si>
    <t>matière et composant</t>
  </si>
  <si>
    <t>France</t>
  </si>
  <si>
    <t>personel productif</t>
  </si>
  <si>
    <t>Prix de  vente France</t>
  </si>
  <si>
    <t>heures suplementaires</t>
  </si>
  <si>
    <t>CHIFFRE D'AFFAIRE FRANCE</t>
  </si>
  <si>
    <t>representants</t>
  </si>
  <si>
    <t>Suisse</t>
  </si>
  <si>
    <t>autres frais</t>
  </si>
  <si>
    <t>Prix de  vente Suisse</t>
  </si>
  <si>
    <t>cout de stockage</t>
  </si>
  <si>
    <t>CHIFFRE D'AFFAIRE SUISSE</t>
  </si>
  <si>
    <t>maintenance et formation</t>
  </si>
  <si>
    <t>CHIFFRE D'AFFAIRE</t>
  </si>
  <si>
    <t>recherche et qualité</t>
  </si>
  <si>
    <t>Pub</t>
  </si>
  <si>
    <t>frais financiers</t>
  </si>
  <si>
    <t>communication et pub</t>
  </si>
  <si>
    <t>Nb machines</t>
  </si>
  <si>
    <t>unité</t>
  </si>
  <si>
    <t>dot. amortissement</t>
  </si>
  <si>
    <t>prix par machine</t>
  </si>
  <si>
    <t>k€</t>
  </si>
  <si>
    <t>etudes et divers</t>
  </si>
  <si>
    <t xml:space="preserve">               moyenne production par machine</t>
  </si>
  <si>
    <t>total charges</t>
  </si>
  <si>
    <t>Rapport ouvrier/machine</t>
  </si>
  <si>
    <r>
      <rPr>
        <b/>
        <sz val="11"/>
        <color theme="1"/>
        <rFont val="Aptos Narrow"/>
        <family val="2"/>
        <scheme val="minor"/>
      </rPr>
      <t>TOT</t>
    </r>
    <r>
      <rPr>
        <sz val="11"/>
        <color theme="1"/>
        <rFont val="Aptos Narrow"/>
        <family val="2"/>
        <scheme val="minor"/>
      </rPr>
      <t xml:space="preserve"> prix mahine</t>
    </r>
  </si>
  <si>
    <t>PRODUITS</t>
  </si>
  <si>
    <r>
      <rPr>
        <b/>
        <sz val="11"/>
        <color theme="1"/>
        <rFont val="Aptos Narrow"/>
        <family val="2"/>
        <scheme val="minor"/>
      </rPr>
      <t>TOT</t>
    </r>
    <r>
      <rPr>
        <sz val="11"/>
        <color theme="1"/>
        <rFont val="Aptos Narrow"/>
        <family val="2"/>
        <scheme val="minor"/>
      </rPr>
      <t xml:space="preserve"> Prod machine</t>
    </r>
  </si>
  <si>
    <t>production stockée</t>
  </si>
  <si>
    <t>Employers production</t>
  </si>
  <si>
    <t>salair effectif representant</t>
  </si>
  <si>
    <t>vente facturée</t>
  </si>
  <si>
    <t>salaire ouvrier</t>
  </si>
  <si>
    <t>produit financier</t>
  </si>
  <si>
    <t>coût d'embauche</t>
  </si>
  <si>
    <t>total produit</t>
  </si>
  <si>
    <t>TOT salaire( sans coût d'embauche)</t>
  </si>
  <si>
    <t>Representants France</t>
  </si>
  <si>
    <t>RESULTAT</t>
  </si>
  <si>
    <t>Representants Suisse</t>
  </si>
  <si>
    <t>moins-value de cession</t>
  </si>
  <si>
    <t>commision representant en %</t>
  </si>
  <si>
    <t>resultat avant impot</t>
  </si>
  <si>
    <t>salaire representants France</t>
  </si>
  <si>
    <t>impot</t>
  </si>
  <si>
    <t>salaire representants Suisse</t>
  </si>
  <si>
    <t xml:space="preserve">resultat apres impot </t>
  </si>
  <si>
    <t>frais d'embauche</t>
  </si>
  <si>
    <t>K €</t>
  </si>
  <si>
    <t>Etudes</t>
  </si>
  <si>
    <t>R&amp;D</t>
  </si>
  <si>
    <t>Formation 0,06 %</t>
  </si>
  <si>
    <t>Budget formation (coût prod)</t>
  </si>
  <si>
    <t>Budget formation (qualité prod)</t>
  </si>
  <si>
    <t>Données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</si>
</sst>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000000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9"/>
      <color indexed="81"/>
      <name val="Tahoma"/>
    </font>
    <font>
      <b/>
      <sz val="9"/>
      <color indexed="81"/>
      <name val="Tahom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2" fontId="0" fillId="0" borderId="0" xfId="0" applyNumberFormat="1"/>
    <xf numFmtId="0" fontId="1" fillId="0" borderId="0" xfId="0" applyFont="1" applyAlignment="1">
      <alignment horizontal="left"/>
    </xf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0" fontId="3" fillId="0" borderId="0" xfId="0" applyFont="1"/>
    <xf numFmtId="0" fontId="1" fillId="0" borderId="0" xfId="0" applyFont="1" applyAlignment="1">
      <alignment horizontal="right"/>
    </xf>
    <xf numFmtId="0" fontId="0" fillId="0" borderId="0" xfId="0" applyAlignment="1">
      <alignment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1"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au15" displayName="Tableau15" ref="A1:D35" totalsRowShown="0">
  <autoFilter ref="A1:D35" xr:uid="{00000000-0009-0000-0100-000001000000}"/>
  <tableColumns count="4">
    <tableColumn id="1" xr3:uid="{00000000-0010-0000-0000-000001000000}" name="Données"/>
    <tableColumn id="2" xr3:uid="{00000000-0010-0000-0000-000002000000}" name="Valeurs"/>
    <tableColumn id="3" xr3:uid="{00000000-0010-0000-0000-000003000000}" name="Unités"/>
    <tableColumn id="4" xr3:uid="{00000000-0010-0000-0000-000004000000}" name="Colonne1"/>
  </tableColumns>
  <tableStyleInfo name="TableStyleMedium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au6" displayName="Tableau6" ref="F2:I28" totalsRowShown="0">
  <autoFilter ref="F2:I28" xr:uid="{00000000-0009-0000-0100-000002000000}"/>
  <tableColumns count="4">
    <tableColumn id="1" xr3:uid="{00000000-0010-0000-0100-000001000000}" name="Colonne1"/>
    <tableColumn id="2" xr3:uid="{00000000-0010-0000-0100-000002000000}" name="Previsions"/>
    <tableColumn id="3" xr3:uid="{00000000-0010-0000-0100-000003000000}" name="Realisations"/>
    <tableColumn id="4" xr3:uid="{00000000-0010-0000-0100-000004000000}" name="Ecarts" dataDxfId="0">
      <calculatedColumnFormula>G3-H3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5"/>
  <sheetViews>
    <sheetView tabSelected="1" workbookViewId="0">
      <selection activeCell="J21" sqref="J21"/>
    </sheetView>
  </sheetViews>
  <sheetFormatPr baseColWidth="10" defaultRowHeight="13.8"/>
  <cols>
    <col min="1" max="1" width="22.59765625" customWidth="1"/>
    <col min="4" max="4" width="23.3984375" customWidth="1"/>
    <col min="5" max="5" width="9" customWidth="1"/>
    <col min="6" max="6" width="20.09765625" customWidth="1"/>
  </cols>
  <sheetData>
    <row r="1" spans="1:9">
      <c r="A1" t="s">
        <v>69</v>
      </c>
      <c r="B1" t="s">
        <v>0</v>
      </c>
      <c r="C1" t="s">
        <v>1</v>
      </c>
      <c r="D1" t="s">
        <v>2</v>
      </c>
      <c r="F1" s="9" t="s">
        <v>3</v>
      </c>
      <c r="G1" s="9"/>
      <c r="H1" s="9"/>
      <c r="I1" s="9"/>
    </row>
    <row r="2" spans="1:9">
      <c r="A2" t="s">
        <v>4</v>
      </c>
      <c r="B2">
        <v>2400</v>
      </c>
      <c r="C2" t="s">
        <v>5</v>
      </c>
      <c r="F2" t="s">
        <v>2</v>
      </c>
      <c r="G2" t="s">
        <v>6</v>
      </c>
      <c r="H2" t="s">
        <v>7</v>
      </c>
      <c r="I2" t="s">
        <v>8</v>
      </c>
    </row>
    <row r="3" spans="1:9">
      <c r="A3" s="1" t="s">
        <v>9</v>
      </c>
      <c r="B3">
        <v>92</v>
      </c>
      <c r="C3" t="s">
        <v>10</v>
      </c>
      <c r="F3" s="1" t="s">
        <v>11</v>
      </c>
      <c r="I3" s="2"/>
    </row>
    <row r="4" spans="1:9">
      <c r="A4" s="3" t="s">
        <v>12</v>
      </c>
      <c r="B4">
        <f>B8+B5</f>
        <v>3.6</v>
      </c>
      <c r="F4" t="s">
        <v>13</v>
      </c>
      <c r="G4" s="2">
        <f>6*B3</f>
        <v>552</v>
      </c>
      <c r="I4" s="2"/>
    </row>
    <row r="5" spans="1:9">
      <c r="A5" s="4" t="s">
        <v>14</v>
      </c>
      <c r="B5">
        <v>2.6</v>
      </c>
      <c r="C5" t="s">
        <v>10</v>
      </c>
      <c r="F5" t="s">
        <v>15</v>
      </c>
      <c r="G5">
        <f>B23</f>
        <v>1480</v>
      </c>
      <c r="I5" s="2"/>
    </row>
    <row r="6" spans="1:9">
      <c r="A6" s="4" t="s">
        <v>16</v>
      </c>
      <c r="B6">
        <v>50</v>
      </c>
      <c r="F6" t="s">
        <v>17</v>
      </c>
      <c r="G6">
        <v>0</v>
      </c>
      <c r="I6" s="2">
        <f t="shared" ref="I6:I15" si="0">H6-G6</f>
        <v>0</v>
      </c>
    </row>
    <row r="7" spans="1:9">
      <c r="A7" s="5" t="s">
        <v>18</v>
      </c>
      <c r="B7">
        <f>B3/B4*B5*B6</f>
        <v>3322.2222222222222</v>
      </c>
      <c r="C7" t="s">
        <v>5</v>
      </c>
      <c r="F7" t="s">
        <v>19</v>
      </c>
      <c r="G7" s="2">
        <f>B27*B24+B28*B25</f>
        <v>600.05555555555554</v>
      </c>
      <c r="I7" s="2">
        <f t="shared" si="0"/>
        <v>-600.05555555555554</v>
      </c>
    </row>
    <row r="8" spans="1:9">
      <c r="A8" s="4" t="s">
        <v>20</v>
      </c>
      <c r="B8">
        <v>1</v>
      </c>
      <c r="C8" t="s">
        <v>10</v>
      </c>
      <c r="F8" t="s">
        <v>21</v>
      </c>
      <c r="G8" s="2">
        <f>0.05*B11</f>
        <v>242.7777777777778</v>
      </c>
      <c r="I8" s="2">
        <f t="shared" si="0"/>
        <v>-242.7777777777778</v>
      </c>
    </row>
    <row r="9" spans="1:9">
      <c r="A9" s="4" t="s">
        <v>22</v>
      </c>
      <c r="B9">
        <v>60</v>
      </c>
      <c r="F9" t="s">
        <v>23</v>
      </c>
      <c r="G9">
        <v>0</v>
      </c>
      <c r="H9" s="6"/>
      <c r="I9" s="2">
        <f t="shared" si="0"/>
        <v>0</v>
      </c>
    </row>
    <row r="10" spans="1:9">
      <c r="A10" s="7" t="s">
        <v>24</v>
      </c>
      <c r="B10" s="8">
        <f>B3/B4*B8*B9</f>
        <v>1533.3333333333333</v>
      </c>
      <c r="C10" t="s">
        <v>5</v>
      </c>
      <c r="F10" t="s">
        <v>25</v>
      </c>
      <c r="G10" s="2">
        <f>(30*B14)+B33</f>
        <v>315</v>
      </c>
      <c r="I10" s="2">
        <f t="shared" si="0"/>
        <v>-315</v>
      </c>
    </row>
    <row r="11" spans="1:9">
      <c r="A11" s="4" t="s">
        <v>26</v>
      </c>
      <c r="B11">
        <f>SUM(B7,B10)</f>
        <v>4855.5555555555557</v>
      </c>
      <c r="C11" t="s">
        <v>5</v>
      </c>
      <c r="F11" t="s">
        <v>27</v>
      </c>
      <c r="G11">
        <f>B32</f>
        <v>100</v>
      </c>
      <c r="I11" s="2">
        <f t="shared" si="0"/>
        <v>-100</v>
      </c>
    </row>
    <row r="12" spans="1:9">
      <c r="A12" s="4" t="s">
        <v>28</v>
      </c>
      <c r="B12">
        <f>720</f>
        <v>720</v>
      </c>
      <c r="C12" t="s">
        <v>5</v>
      </c>
      <c r="F12" t="s">
        <v>29</v>
      </c>
      <c r="G12">
        <v>0</v>
      </c>
      <c r="I12" s="2">
        <f t="shared" si="0"/>
        <v>0</v>
      </c>
    </row>
    <row r="13" spans="1:9">
      <c r="F13" t="s">
        <v>30</v>
      </c>
      <c r="G13">
        <f>B12</f>
        <v>720</v>
      </c>
      <c r="I13" s="2">
        <f t="shared" si="0"/>
        <v>-720</v>
      </c>
    </row>
    <row r="14" spans="1:9">
      <c r="A14" s="1" t="s">
        <v>31</v>
      </c>
      <c r="B14">
        <v>8</v>
      </c>
      <c r="C14" t="s">
        <v>32</v>
      </c>
      <c r="F14" t="s">
        <v>33</v>
      </c>
      <c r="G14">
        <f>0.1*B18</f>
        <v>160</v>
      </c>
      <c r="I14" s="2">
        <f t="shared" si="0"/>
        <v>-160</v>
      </c>
    </row>
    <row r="15" spans="1:9">
      <c r="A15" s="4" t="s">
        <v>34</v>
      </c>
      <c r="B15">
        <v>200</v>
      </c>
      <c r="C15" t="s">
        <v>35</v>
      </c>
      <c r="F15" t="s">
        <v>36</v>
      </c>
      <c r="G15" s="2">
        <f>B29+B22+B31</f>
        <v>289.60000000000002</v>
      </c>
      <c r="I15" s="2">
        <f t="shared" si="0"/>
        <v>-289.60000000000002</v>
      </c>
    </row>
    <row r="16" spans="1:9">
      <c r="A16" s="4" t="s">
        <v>37</v>
      </c>
      <c r="B16">
        <f>B3/B14</f>
        <v>11.5</v>
      </c>
      <c r="C16" t="s">
        <v>10</v>
      </c>
      <c r="F16" s="1" t="s">
        <v>38</v>
      </c>
      <c r="G16" s="2">
        <f>SUM(G4:G15)</f>
        <v>4459.4333333333343</v>
      </c>
      <c r="H16" s="2"/>
      <c r="I16" s="2">
        <f>SUM(I4:I15)</f>
        <v>-2427.4333333333334</v>
      </c>
    </row>
    <row r="17" spans="1:9">
      <c r="A17" s="4" t="s">
        <v>39</v>
      </c>
      <c r="B17">
        <f>B20/B14</f>
        <v>10</v>
      </c>
      <c r="C17" t="s">
        <v>32</v>
      </c>
      <c r="I17" s="2"/>
    </row>
    <row r="18" spans="1:9">
      <c r="A18" s="4" t="s">
        <v>40</v>
      </c>
      <c r="B18">
        <f>B15*B14</f>
        <v>1600</v>
      </c>
      <c r="C18" t="s">
        <v>5</v>
      </c>
      <c r="F18" s="1" t="s">
        <v>41</v>
      </c>
      <c r="I18" s="2"/>
    </row>
    <row r="19" spans="1:9">
      <c r="A19" s="4" t="s">
        <v>42</v>
      </c>
      <c r="B19" s="2">
        <f>B16*B14*B17/10</f>
        <v>92</v>
      </c>
      <c r="C19" t="s">
        <v>10</v>
      </c>
      <c r="F19" t="s">
        <v>43</v>
      </c>
      <c r="G19">
        <v>0</v>
      </c>
      <c r="I19" s="2">
        <f>H19-G19</f>
        <v>0</v>
      </c>
    </row>
    <row r="20" spans="1:9">
      <c r="A20" s="1" t="s">
        <v>44</v>
      </c>
      <c r="B20">
        <v>80</v>
      </c>
      <c r="C20" t="s">
        <v>32</v>
      </c>
      <c r="D20" t="s">
        <v>45</v>
      </c>
      <c r="F20" t="s">
        <v>46</v>
      </c>
      <c r="G20" s="2">
        <f>B11</f>
        <v>4855.5555555555557</v>
      </c>
      <c r="I20" s="2">
        <f>H20-G20</f>
        <v>-4855.5555555555557</v>
      </c>
    </row>
    <row r="21" spans="1:9">
      <c r="A21" s="4" t="s">
        <v>47</v>
      </c>
      <c r="B21">
        <v>18.5</v>
      </c>
      <c r="C21" t="s">
        <v>5</v>
      </c>
      <c r="F21" t="s">
        <v>48</v>
      </c>
      <c r="G21">
        <v>0</v>
      </c>
      <c r="I21" s="2">
        <f>H21-G21</f>
        <v>0</v>
      </c>
    </row>
    <row r="22" spans="1:9">
      <c r="A22" s="4" t="s">
        <v>49</v>
      </c>
      <c r="B22">
        <f>B21*B20*0.1</f>
        <v>148</v>
      </c>
      <c r="C22" t="s">
        <v>5</v>
      </c>
      <c r="F22" s="1" t="s">
        <v>50</v>
      </c>
      <c r="G22" s="2">
        <f>SUM(G19:G21)</f>
        <v>4855.5555555555557</v>
      </c>
      <c r="H22" s="2"/>
      <c r="I22" s="2">
        <f>SUM(I19:I21)</f>
        <v>-4855.5555555555557</v>
      </c>
    </row>
    <row r="23" spans="1:9">
      <c r="A23" s="4" t="s">
        <v>51</v>
      </c>
      <c r="B23">
        <f>B21*B20</f>
        <v>1480</v>
      </c>
      <c r="C23" t="s">
        <v>5</v>
      </c>
      <c r="I23" s="2"/>
    </row>
    <row r="24" spans="1:9">
      <c r="A24" s="4" t="s">
        <v>52</v>
      </c>
      <c r="B24">
        <f>B5/0.2</f>
        <v>13</v>
      </c>
      <c r="C24" t="s">
        <v>32</v>
      </c>
      <c r="F24" s="1" t="s">
        <v>53</v>
      </c>
      <c r="I24" s="2"/>
    </row>
    <row r="25" spans="1:9">
      <c r="A25" s="4" t="s">
        <v>54</v>
      </c>
      <c r="B25">
        <f>B8/0.2</f>
        <v>5</v>
      </c>
      <c r="C25" t="s">
        <v>32</v>
      </c>
      <c r="F25" t="s">
        <v>55</v>
      </c>
      <c r="G25">
        <v>0</v>
      </c>
      <c r="I25" s="2">
        <f>H25-G25</f>
        <v>0</v>
      </c>
    </row>
    <row r="26" spans="1:9">
      <c r="A26" s="4" t="s">
        <v>56</v>
      </c>
      <c r="B26">
        <v>5.5</v>
      </c>
      <c r="F26" t="s">
        <v>57</v>
      </c>
      <c r="G26" s="2">
        <f>G22-G16</f>
        <v>396.12222222222135</v>
      </c>
      <c r="I26" s="2">
        <f>H26-G26</f>
        <v>-396.12222222222135</v>
      </c>
    </row>
    <row r="27" spans="1:9">
      <c r="A27" s="4" t="s">
        <v>58</v>
      </c>
      <c r="B27">
        <f>B21+(B26*B7/100)/B24</f>
        <v>32.555555555555557</v>
      </c>
      <c r="D27">
        <f>B21+(W8*B6*7/100)/B24</f>
        <v>18.5</v>
      </c>
      <c r="F27" t="s">
        <v>59</v>
      </c>
      <c r="G27" s="2">
        <f>33.33%*G26</f>
        <v>132.02753666666638</v>
      </c>
      <c r="I27" s="2"/>
    </row>
    <row r="28" spans="1:9">
      <c r="A28" s="4" t="s">
        <v>60</v>
      </c>
      <c r="B28">
        <f>B21+(B26*B10/100)/B25</f>
        <v>35.36666666666666</v>
      </c>
      <c r="D28">
        <f>B21+(Y8*B9*7/100)/B26</f>
        <v>18.5</v>
      </c>
      <c r="F28" s="1" t="s">
        <v>61</v>
      </c>
      <c r="G28" s="2">
        <f>G26-G27</f>
        <v>264.09468555555497</v>
      </c>
      <c r="I28" s="2">
        <f>H28-G28</f>
        <v>-264.09468555555497</v>
      </c>
    </row>
    <row r="29" spans="1:9">
      <c r="A29" s="4" t="s">
        <v>62</v>
      </c>
      <c r="B29">
        <f>0.2*B21*(B25+B24)</f>
        <v>66.600000000000009</v>
      </c>
      <c r="C29" t="s">
        <v>63</v>
      </c>
    </row>
    <row r="30" spans="1:9">
      <c r="A30" s="4"/>
    </row>
    <row r="31" spans="1:9">
      <c r="A31" t="s">
        <v>64</v>
      </c>
      <c r="B31">
        <v>75</v>
      </c>
      <c r="C31" t="s">
        <v>5</v>
      </c>
    </row>
    <row r="32" spans="1:9">
      <c r="A32" t="s">
        <v>65</v>
      </c>
      <c r="B32">
        <v>100</v>
      </c>
      <c r="C32" t="s">
        <v>5</v>
      </c>
    </row>
    <row r="33" spans="1:2">
      <c r="A33" t="s">
        <v>66</v>
      </c>
      <c r="B33">
        <v>75</v>
      </c>
    </row>
    <row r="34" spans="1:2">
      <c r="A34" t="s">
        <v>67</v>
      </c>
    </row>
    <row r="35" spans="1:2">
      <c r="A35" t="s">
        <v>68</v>
      </c>
    </row>
  </sheetData>
  <mergeCells count="1">
    <mergeCell ref="F1:I1"/>
  </mergeCells>
  <pageMargins left="0.7" right="0.7" top="0.75" bottom="0.75" header="0.3" footer="0.3"/>
  <legacy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Julien Hofmann</dc:creator>
  <cp:lastModifiedBy>Cecile Le-Breton</cp:lastModifiedBy>
  <dcterms:created xsi:type="dcterms:W3CDTF">2024-04-24T10:12:58Z</dcterms:created>
  <dcterms:modified xsi:type="dcterms:W3CDTF">2024-04-30T08:48:27Z</dcterms:modified>
</cp:coreProperties>
</file>