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-breton\Documents\COURS INSA\cours 3ème année\BUSINESS GAME AVRIL MAI 2024\TRAVAUX RENDUS JEU 5 GROUPE A MIC\E3 MIC GROUPE A\"/>
    </mc:Choice>
  </mc:AlternateContent>
  <xr:revisionPtr revIDLastSave="0" documentId="8_{B2B4EA9F-936C-4FF7-BBFF-9063538F4F4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ériode 0" sheetId="1" r:id="rId1"/>
    <sheet name="Période 1" sheetId="2" r:id="rId2"/>
    <sheet name="Période 2" sheetId="3" r:id="rId3"/>
    <sheet name="Période 3" sheetId="4" r:id="rId4"/>
    <sheet name="Période 4" sheetId="5" r:id="rId5"/>
    <sheet name="PASTOUCHER" sheetId="6" r:id="rId6"/>
    <sheet name="Sheet1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mB/VbR8zReRIrZvvyGujvsh6l/TlvMAIBXUFhi9h/OE="/>
    </ext>
  </extLst>
</workbook>
</file>

<file path=xl/calcChain.xml><?xml version="1.0" encoding="utf-8"?>
<calcChain xmlns="http://schemas.openxmlformats.org/spreadsheetml/2006/main">
  <c r="O5" i="4" l="1"/>
  <c r="P22" i="6"/>
  <c r="O21" i="6"/>
  <c r="J21" i="6"/>
  <c r="N21" i="6" s="1"/>
  <c r="O20" i="6"/>
  <c r="O19" i="6"/>
  <c r="O18" i="6"/>
  <c r="O17" i="6"/>
  <c r="O22" i="6" s="1"/>
  <c r="O15" i="6"/>
  <c r="H15" i="6"/>
  <c r="P16" i="6" s="1"/>
  <c r="O10" i="6"/>
  <c r="H10" i="6"/>
  <c r="P11" i="6" s="1"/>
  <c r="O6" i="6"/>
  <c r="H6" i="6"/>
  <c r="P7" i="6" s="1"/>
  <c r="Q7" i="6" s="1"/>
  <c r="O5" i="6"/>
  <c r="O7" i="6" s="1"/>
  <c r="N5" i="6"/>
  <c r="L5" i="6"/>
  <c r="J5" i="6"/>
  <c r="G8" i="6" s="1"/>
  <c r="C64" i="5"/>
  <c r="C55" i="5"/>
  <c r="AA11" i="5" s="1"/>
  <c r="C46" i="5"/>
  <c r="C42" i="5"/>
  <c r="C47" i="5" s="1"/>
  <c r="I5" i="5" s="1"/>
  <c r="K5" i="5" s="1"/>
  <c r="J31" i="5"/>
  <c r="P27" i="5"/>
  <c r="O27" i="5"/>
  <c r="Q27" i="5" s="1"/>
  <c r="P25" i="5"/>
  <c r="O25" i="5"/>
  <c r="Q25" i="5" s="1"/>
  <c r="J25" i="5"/>
  <c r="C25" i="5"/>
  <c r="P24" i="5"/>
  <c r="C24" i="5"/>
  <c r="K23" i="5"/>
  <c r="I23" i="5"/>
  <c r="C23" i="5"/>
  <c r="C22" i="5"/>
  <c r="I22" i="5" s="1"/>
  <c r="Z21" i="5"/>
  <c r="Y20" i="5"/>
  <c r="P20" i="5"/>
  <c r="K20" i="5"/>
  <c r="I19" i="5"/>
  <c r="I25" i="5" s="1"/>
  <c r="E18" i="5"/>
  <c r="C18" i="5"/>
  <c r="P17" i="5"/>
  <c r="Q16" i="5"/>
  <c r="J16" i="5"/>
  <c r="AA15" i="5"/>
  <c r="Z15" i="5"/>
  <c r="Z22" i="5" s="1"/>
  <c r="Y15" i="5"/>
  <c r="Y22" i="5" s="1"/>
  <c r="Y24" i="5" s="1"/>
  <c r="U15" i="5"/>
  <c r="U23" i="5" s="1"/>
  <c r="O14" i="5"/>
  <c r="Q14" i="5" s="1"/>
  <c r="C14" i="5"/>
  <c r="O13" i="5"/>
  <c r="Q13" i="5" s="1"/>
  <c r="I13" i="5"/>
  <c r="K13" i="5" s="1"/>
  <c r="Y11" i="5"/>
  <c r="K11" i="5"/>
  <c r="I11" i="5"/>
  <c r="AA10" i="5"/>
  <c r="Z10" i="5"/>
  <c r="Y10" i="5"/>
  <c r="P10" i="5"/>
  <c r="U9" i="5"/>
  <c r="Q9" i="5"/>
  <c r="O9" i="5"/>
  <c r="I12" i="5" s="1"/>
  <c r="K12" i="5" s="1"/>
  <c r="I9" i="5"/>
  <c r="K9" i="5" s="1"/>
  <c r="C9" i="5"/>
  <c r="Q8" i="5"/>
  <c r="I8" i="5"/>
  <c r="K8" i="5" s="1"/>
  <c r="C8" i="5"/>
  <c r="C7" i="5"/>
  <c r="C6" i="5" s="1"/>
  <c r="Y6" i="5"/>
  <c r="Y7" i="5" s="1"/>
  <c r="T6" i="5"/>
  <c r="K6" i="5"/>
  <c r="Y5" i="5"/>
  <c r="I4" i="5"/>
  <c r="C55" i="4"/>
  <c r="C56" i="4" s="1"/>
  <c r="C46" i="4"/>
  <c r="C42" i="4"/>
  <c r="C47" i="4" s="1"/>
  <c r="I5" i="4" s="1"/>
  <c r="K5" i="4" s="1"/>
  <c r="J30" i="4"/>
  <c r="O27" i="4"/>
  <c r="O25" i="4"/>
  <c r="C25" i="4"/>
  <c r="O24" i="4"/>
  <c r="K24" i="4"/>
  <c r="I24" i="4"/>
  <c r="C24" i="4"/>
  <c r="K23" i="4"/>
  <c r="J23" i="4"/>
  <c r="J25" i="4" s="1"/>
  <c r="I23" i="4"/>
  <c r="C23" i="4"/>
  <c r="C22" i="4" s="1"/>
  <c r="Y21" i="4"/>
  <c r="Y20" i="4"/>
  <c r="P20" i="4"/>
  <c r="I24" i="5" s="1"/>
  <c r="K24" i="5" s="1"/>
  <c r="K20" i="4"/>
  <c r="K19" i="4"/>
  <c r="I19" i="4"/>
  <c r="C18" i="4"/>
  <c r="P17" i="4"/>
  <c r="Q16" i="4"/>
  <c r="J16" i="4"/>
  <c r="AA15" i="4"/>
  <c r="AA22" i="4" s="1"/>
  <c r="Z15" i="4"/>
  <c r="Z22" i="4" s="1"/>
  <c r="Z24" i="4" s="1"/>
  <c r="Y15" i="4"/>
  <c r="Y22" i="4" s="1"/>
  <c r="U15" i="4"/>
  <c r="U23" i="4" s="1"/>
  <c r="C14" i="4"/>
  <c r="Q13" i="4"/>
  <c r="O13" i="4"/>
  <c r="I13" i="4"/>
  <c r="K13" i="4" s="1"/>
  <c r="Z12" i="4"/>
  <c r="Y12" i="4"/>
  <c r="AA11" i="4"/>
  <c r="Z11" i="4"/>
  <c r="I11" i="4"/>
  <c r="K11" i="4" s="1"/>
  <c r="P10" i="4"/>
  <c r="U9" i="4"/>
  <c r="O9" i="4"/>
  <c r="O14" i="4" s="1"/>
  <c r="K9" i="4"/>
  <c r="I9" i="4"/>
  <c r="C9" i="4"/>
  <c r="Q8" i="4"/>
  <c r="C8" i="4"/>
  <c r="Y7" i="4"/>
  <c r="Z9" i="4" s="1"/>
  <c r="C7" i="4"/>
  <c r="Y6" i="4"/>
  <c r="AA21" i="4" s="1"/>
  <c r="T6" i="4"/>
  <c r="O6" i="4"/>
  <c r="Q6" i="4" s="1"/>
  <c r="K6" i="4"/>
  <c r="C6" i="4"/>
  <c r="Y5" i="4"/>
  <c r="I4" i="4"/>
  <c r="Q3" i="4"/>
  <c r="C48" i="3"/>
  <c r="C47" i="3"/>
  <c r="Y11" i="3" s="1"/>
  <c r="C41" i="3"/>
  <c r="C40" i="3"/>
  <c r="C37" i="3"/>
  <c r="C36" i="3"/>
  <c r="J30" i="3"/>
  <c r="C30" i="3"/>
  <c r="O28" i="3"/>
  <c r="K28" i="3"/>
  <c r="O27" i="3"/>
  <c r="O26" i="3"/>
  <c r="C26" i="3"/>
  <c r="C25" i="3" s="1"/>
  <c r="C31" i="3" s="1"/>
  <c r="I14" i="3" s="1"/>
  <c r="K14" i="3" s="1"/>
  <c r="O25" i="3"/>
  <c r="J25" i="3"/>
  <c r="O24" i="3"/>
  <c r="O29" i="3" s="1"/>
  <c r="K23" i="3"/>
  <c r="Z22" i="3"/>
  <c r="Y20" i="3"/>
  <c r="T20" i="3"/>
  <c r="K20" i="3"/>
  <c r="C20" i="3"/>
  <c r="I19" i="3"/>
  <c r="K19" i="3" s="1"/>
  <c r="C19" i="3"/>
  <c r="C18" i="3"/>
  <c r="P17" i="3"/>
  <c r="Q16" i="3"/>
  <c r="J16" i="3"/>
  <c r="Z15" i="3"/>
  <c r="Y15" i="3"/>
  <c r="U15" i="3"/>
  <c r="O26" i="4" s="1"/>
  <c r="O28" i="4" s="1"/>
  <c r="O30" i="4" s="1"/>
  <c r="I15" i="3"/>
  <c r="K15" i="3" s="1"/>
  <c r="C15" i="3"/>
  <c r="O14" i="3"/>
  <c r="Q14" i="3" s="1"/>
  <c r="O13" i="3"/>
  <c r="Q13" i="3" s="1"/>
  <c r="Y12" i="3"/>
  <c r="K12" i="3"/>
  <c r="C12" i="3"/>
  <c r="I13" i="3" s="1"/>
  <c r="K13" i="3" s="1"/>
  <c r="Z11" i="3"/>
  <c r="I11" i="3"/>
  <c r="K11" i="3" s="1"/>
  <c r="P10" i="3"/>
  <c r="U9" i="3"/>
  <c r="Q9" i="3"/>
  <c r="I9" i="3"/>
  <c r="K9" i="3" s="1"/>
  <c r="Q8" i="3"/>
  <c r="C8" i="3"/>
  <c r="O7" i="3"/>
  <c r="Q7" i="3" s="1"/>
  <c r="C7" i="3"/>
  <c r="C6" i="3" s="1"/>
  <c r="Y6" i="3"/>
  <c r="Z21" i="3" s="1"/>
  <c r="T6" i="3"/>
  <c r="K6" i="3"/>
  <c r="Y5" i="3"/>
  <c r="Y7" i="3" s="1"/>
  <c r="I5" i="3"/>
  <c r="K5" i="3" s="1"/>
  <c r="K4" i="3"/>
  <c r="I4" i="3"/>
  <c r="Q3" i="3"/>
  <c r="C41" i="2"/>
  <c r="C40" i="2"/>
  <c r="Z10" i="2" s="1"/>
  <c r="C37" i="2"/>
  <c r="C36" i="2"/>
  <c r="C35" i="2"/>
  <c r="I15" i="2" s="1"/>
  <c r="K15" i="2" s="1"/>
  <c r="C30" i="2"/>
  <c r="C29" i="2"/>
  <c r="V4" i="2" s="1"/>
  <c r="J28" i="2"/>
  <c r="C28" i="2"/>
  <c r="O27" i="2"/>
  <c r="K26" i="2"/>
  <c r="O25" i="2"/>
  <c r="O24" i="2"/>
  <c r="O23" i="2"/>
  <c r="O26" i="2" s="1"/>
  <c r="J23" i="2"/>
  <c r="K21" i="2"/>
  <c r="C21" i="2"/>
  <c r="C20" i="2"/>
  <c r="C19" i="2" s="1"/>
  <c r="Z19" i="2"/>
  <c r="K19" i="2"/>
  <c r="Z18" i="2"/>
  <c r="V18" i="2"/>
  <c r="Q18" i="2"/>
  <c r="W17" i="2"/>
  <c r="P17" i="2"/>
  <c r="U16" i="2"/>
  <c r="W16" i="2" s="1"/>
  <c r="Q16" i="2"/>
  <c r="J16" i="2"/>
  <c r="W15" i="2"/>
  <c r="Q15" i="2"/>
  <c r="C15" i="2"/>
  <c r="Q14" i="2"/>
  <c r="AA13" i="2"/>
  <c r="AA11" i="2" s="1"/>
  <c r="Z13" i="2"/>
  <c r="Z11" i="2" s="1"/>
  <c r="W13" i="2"/>
  <c r="O13" i="2"/>
  <c r="Q13" i="2" s="1"/>
  <c r="K13" i="2"/>
  <c r="I13" i="2"/>
  <c r="V12" i="2"/>
  <c r="K12" i="2"/>
  <c r="W11" i="2"/>
  <c r="Q11" i="2"/>
  <c r="I11" i="2"/>
  <c r="K11" i="2" s="1"/>
  <c r="AA10" i="2"/>
  <c r="W10" i="2"/>
  <c r="P10" i="2"/>
  <c r="P19" i="2" s="1"/>
  <c r="O10" i="2"/>
  <c r="I10" i="2"/>
  <c r="K10" i="2" s="1"/>
  <c r="AA9" i="2"/>
  <c r="Z9" i="2"/>
  <c r="Q9" i="2"/>
  <c r="K9" i="2"/>
  <c r="Q8" i="2"/>
  <c r="Q7" i="2"/>
  <c r="V6" i="2"/>
  <c r="Q6" i="2"/>
  <c r="K6" i="2"/>
  <c r="C6" i="2"/>
  <c r="Z5" i="2"/>
  <c r="V5" i="2"/>
  <c r="W5" i="2" s="1"/>
  <c r="Q5" i="2"/>
  <c r="I5" i="2"/>
  <c r="K5" i="2" s="1"/>
  <c r="Z4" i="2"/>
  <c r="Z6" i="2" s="1"/>
  <c r="Q4" i="2"/>
  <c r="K4" i="2"/>
  <c r="I4" i="2"/>
  <c r="O3" i="2"/>
  <c r="K8" i="1"/>
  <c r="G6" i="1"/>
  <c r="G7" i="1" s="1"/>
  <c r="K3" i="1"/>
  <c r="K4" i="1" s="1"/>
  <c r="I7" i="4" l="1"/>
  <c r="K7" i="4" s="1"/>
  <c r="I8" i="4"/>
  <c r="K8" i="4" s="1"/>
  <c r="I22" i="4"/>
  <c r="Z24" i="5"/>
  <c r="Z23" i="5"/>
  <c r="W4" i="2"/>
  <c r="Z9" i="3"/>
  <c r="Y9" i="3"/>
  <c r="AA9" i="5"/>
  <c r="Z9" i="5"/>
  <c r="Y9" i="5"/>
  <c r="I8" i="2"/>
  <c r="K8" i="2" s="1"/>
  <c r="I20" i="2"/>
  <c r="Q14" i="4"/>
  <c r="T19" i="4"/>
  <c r="T19" i="5" s="1"/>
  <c r="O30" i="3"/>
  <c r="C33" i="3"/>
  <c r="T20" i="4"/>
  <c r="K4" i="4"/>
  <c r="AA23" i="4"/>
  <c r="AA24" i="4"/>
  <c r="I15" i="4"/>
  <c r="K15" i="4" s="1"/>
  <c r="C67" i="4"/>
  <c r="AA8" i="2"/>
  <c r="AA12" i="2" s="1"/>
  <c r="AA14" i="2" s="1"/>
  <c r="AA15" i="2" s="1"/>
  <c r="Z8" i="2"/>
  <c r="Z12" i="2" s="1"/>
  <c r="Z14" i="4"/>
  <c r="Z13" i="4"/>
  <c r="Z16" i="4" s="1"/>
  <c r="Z17" i="4" s="1"/>
  <c r="K22" i="5"/>
  <c r="O5" i="5"/>
  <c r="Q5" i="5" s="1"/>
  <c r="T7" i="5"/>
  <c r="Z24" i="3"/>
  <c r="Z23" i="3"/>
  <c r="I22" i="3"/>
  <c r="I8" i="3"/>
  <c r="K8" i="3" s="1"/>
  <c r="Z21" i="2"/>
  <c r="AA19" i="2"/>
  <c r="AA21" i="2" s="1"/>
  <c r="Y24" i="4"/>
  <c r="Y23" i="4"/>
  <c r="I24" i="3"/>
  <c r="V7" i="2"/>
  <c r="V8" i="2" s="1"/>
  <c r="I10" i="3"/>
  <c r="K10" i="3" s="1"/>
  <c r="O29" i="4"/>
  <c r="P30" i="5"/>
  <c r="I8" i="6"/>
  <c r="C67" i="5"/>
  <c r="Q22" i="6"/>
  <c r="Q3" i="2"/>
  <c r="Z14" i="2"/>
  <c r="Z15" i="2" s="1"/>
  <c r="Y21" i="3"/>
  <c r="Y23" i="3" s="1"/>
  <c r="U23" i="3"/>
  <c r="AA9" i="4"/>
  <c r="AA12" i="4"/>
  <c r="K4" i="5"/>
  <c r="K19" i="5"/>
  <c r="K25" i="5" s="1"/>
  <c r="Y21" i="5"/>
  <c r="Y23" i="5" s="1"/>
  <c r="O26" i="5"/>
  <c r="O6" i="5"/>
  <c r="Q6" i="5" s="1"/>
  <c r="P26" i="5"/>
  <c r="P28" i="5" s="1"/>
  <c r="P29" i="5" s="1"/>
  <c r="Q10" i="2"/>
  <c r="Z20" i="2"/>
  <c r="I16" i="3"/>
  <c r="I12" i="4"/>
  <c r="K12" i="4" s="1"/>
  <c r="Z21" i="4"/>
  <c r="Z23" i="4" s="1"/>
  <c r="C56" i="5"/>
  <c r="I15" i="5" s="1"/>
  <c r="K15" i="5" s="1"/>
  <c r="U4" i="2"/>
  <c r="I14" i="2"/>
  <c r="K14" i="2" s="1"/>
  <c r="I7" i="3"/>
  <c r="K7" i="3" s="1"/>
  <c r="Z12" i="3"/>
  <c r="Q9" i="4"/>
  <c r="I7" i="2"/>
  <c r="Y22" i="3"/>
  <c r="Y24" i="3" s="1"/>
  <c r="J6" i="6"/>
  <c r="J15" i="6"/>
  <c r="I7" i="5"/>
  <c r="K7" i="5" s="1"/>
  <c r="Z11" i="5"/>
  <c r="T20" i="5"/>
  <c r="J10" i="6"/>
  <c r="L21" i="6"/>
  <c r="O3" i="5"/>
  <c r="Y9" i="4"/>
  <c r="O8" i="6" l="1"/>
  <c r="I28" i="4"/>
  <c r="K28" i="4" s="1"/>
  <c r="AA20" i="2"/>
  <c r="AA22" i="2" s="1"/>
  <c r="Z22" i="2"/>
  <c r="T7" i="3"/>
  <c r="K22" i="3"/>
  <c r="K25" i="3" s="1"/>
  <c r="I25" i="3"/>
  <c r="I29" i="3" s="1"/>
  <c r="O5" i="3"/>
  <c r="Z13" i="5"/>
  <c r="Z16" i="5" s="1"/>
  <c r="Z17" i="5" s="1"/>
  <c r="Z12" i="5"/>
  <c r="Z14" i="5"/>
  <c r="L10" i="6"/>
  <c r="G14" i="6"/>
  <c r="N10" i="6"/>
  <c r="K24" i="3"/>
  <c r="O6" i="3"/>
  <c r="Q6" i="3" s="1"/>
  <c r="I16" i="2"/>
  <c r="K7" i="2"/>
  <c r="Y13" i="4"/>
  <c r="Y16" i="4" s="1"/>
  <c r="Y17" i="4" s="1"/>
  <c r="Y14" i="4"/>
  <c r="G20" i="6"/>
  <c r="J20" i="6" s="1"/>
  <c r="N15" i="6"/>
  <c r="L15" i="6"/>
  <c r="AA14" i="5"/>
  <c r="AA12" i="5"/>
  <c r="AA13" i="5" s="1"/>
  <c r="AA16" i="5" s="1"/>
  <c r="AA17" i="5" s="1"/>
  <c r="K22" i="4"/>
  <c r="K25" i="4" s="1"/>
  <c r="I25" i="4"/>
  <c r="T7" i="4"/>
  <c r="Q26" i="5"/>
  <c r="O28" i="5"/>
  <c r="AA14" i="4"/>
  <c r="AA13" i="4"/>
  <c r="AA16" i="4" s="1"/>
  <c r="AA17" i="4" s="1"/>
  <c r="I23" i="2"/>
  <c r="I27" i="2" s="1"/>
  <c r="K20" i="2"/>
  <c r="K23" i="2" s="1"/>
  <c r="U6" i="2"/>
  <c r="W6" i="2" s="1"/>
  <c r="Y14" i="5"/>
  <c r="Y12" i="5"/>
  <c r="Y13" i="5" s="1"/>
  <c r="Y16" i="5" s="1"/>
  <c r="Y17" i="5" s="1"/>
  <c r="N6" i="6"/>
  <c r="N7" i="6" s="1"/>
  <c r="C32" i="3" s="1"/>
  <c r="T5" i="3" s="1"/>
  <c r="G9" i="6"/>
  <c r="L6" i="6"/>
  <c r="L7" i="6" s="1"/>
  <c r="J7" i="6"/>
  <c r="Y14" i="3"/>
  <c r="Y13" i="3"/>
  <c r="Y16" i="3" s="1"/>
  <c r="Y17" i="3" s="1"/>
  <c r="J8" i="6"/>
  <c r="C21" i="3"/>
  <c r="K16" i="3"/>
  <c r="O12" i="3"/>
  <c r="Q3" i="5"/>
  <c r="Z13" i="3"/>
  <c r="Z16" i="3" s="1"/>
  <c r="Z17" i="3" s="1"/>
  <c r="Z14" i="3"/>
  <c r="Q12" i="3" l="1"/>
  <c r="N20" i="6"/>
  <c r="L20" i="6"/>
  <c r="C31" i="4"/>
  <c r="C30" i="4" s="1"/>
  <c r="C22" i="2"/>
  <c r="O12" i="2"/>
  <c r="K16" i="2"/>
  <c r="O10" i="3"/>
  <c r="Q5" i="3"/>
  <c r="I9" i="6"/>
  <c r="O9" i="6" s="1"/>
  <c r="O11" i="6" s="1"/>
  <c r="R5" i="6"/>
  <c r="Q5" i="4"/>
  <c r="M7" i="6"/>
  <c r="I28" i="2"/>
  <c r="K28" i="2" s="1"/>
  <c r="K27" i="2"/>
  <c r="I29" i="2"/>
  <c r="N8" i="6"/>
  <c r="L8" i="6"/>
  <c r="G12" i="6"/>
  <c r="Q28" i="5"/>
  <c r="O30" i="5"/>
  <c r="Q30" i="5" s="1"/>
  <c r="O15" i="3"/>
  <c r="Q15" i="3" s="1"/>
  <c r="I32" i="3"/>
  <c r="K29" i="3"/>
  <c r="I30" i="3"/>
  <c r="O7" i="4" l="1"/>
  <c r="C65" i="4"/>
  <c r="Q11" i="6"/>
  <c r="C37" i="4"/>
  <c r="I14" i="4" s="1"/>
  <c r="I10" i="4"/>
  <c r="C36" i="4"/>
  <c r="K32" i="3"/>
  <c r="T13" i="3"/>
  <c r="T15" i="3" s="1"/>
  <c r="T23" i="3" s="1"/>
  <c r="J9" i="6"/>
  <c r="O17" i="2"/>
  <c r="Q12" i="2"/>
  <c r="I12" i="6"/>
  <c r="O17" i="3"/>
  <c r="Q17" i="3" s="1"/>
  <c r="K29" i="2"/>
  <c r="U12" i="2"/>
  <c r="Q10" i="3"/>
  <c r="O12" i="6" l="1"/>
  <c r="I28" i="5"/>
  <c r="K28" i="5" s="1"/>
  <c r="I13" i="6"/>
  <c r="O13" i="6" s="1"/>
  <c r="J12" i="6"/>
  <c r="K10" i="4"/>
  <c r="I16" i="4"/>
  <c r="O20" i="3"/>
  <c r="W12" i="2"/>
  <c r="U14" i="2"/>
  <c r="Q17" i="2"/>
  <c r="O19" i="2"/>
  <c r="K14" i="4"/>
  <c r="C26" i="4"/>
  <c r="G13" i="6"/>
  <c r="N9" i="6"/>
  <c r="N11" i="6" s="1"/>
  <c r="L9" i="6"/>
  <c r="L11" i="6" s="1"/>
  <c r="J11" i="6"/>
  <c r="Q7" i="4"/>
  <c r="O10" i="4"/>
  <c r="Q10" i="4" l="1"/>
  <c r="Q20" i="3"/>
  <c r="T8" i="3"/>
  <c r="N12" i="6"/>
  <c r="L12" i="6"/>
  <c r="G17" i="6"/>
  <c r="J17" i="6" s="1"/>
  <c r="U7" i="2"/>
  <c r="Q19" i="2"/>
  <c r="R9" i="6"/>
  <c r="C35" i="4" s="1"/>
  <c r="C39" i="4" s="1"/>
  <c r="J13" i="6"/>
  <c r="C31" i="5"/>
  <c r="C30" i="5" s="1"/>
  <c r="K16" i="4"/>
  <c r="O12" i="4"/>
  <c r="I29" i="4"/>
  <c r="M11" i="6"/>
  <c r="U18" i="2"/>
  <c r="W18" i="2" s="1"/>
  <c r="W14" i="2"/>
  <c r="C38" i="5"/>
  <c r="C38" i="4"/>
  <c r="T5" i="4" s="1"/>
  <c r="I14" i="6"/>
  <c r="N17" i="6" l="1"/>
  <c r="L17" i="6"/>
  <c r="G18" i="6"/>
  <c r="J18" i="6" s="1"/>
  <c r="N13" i="6"/>
  <c r="L13" i="6"/>
  <c r="C64" i="4"/>
  <c r="C66" i="4" s="1"/>
  <c r="T9" i="3"/>
  <c r="Q12" i="4"/>
  <c r="O14" i="6"/>
  <c r="O16" i="6" s="1"/>
  <c r="J14" i="6"/>
  <c r="C37" i="5"/>
  <c r="I14" i="5" s="1"/>
  <c r="I10" i="5"/>
  <c r="C36" i="5"/>
  <c r="K29" i="4"/>
  <c r="O15" i="4"/>
  <c r="Q15" i="4" s="1"/>
  <c r="I30" i="4"/>
  <c r="I31" i="4" s="1"/>
  <c r="U8" i="2"/>
  <c r="W8" i="2" s="1"/>
  <c r="W7" i="2"/>
  <c r="K31" i="4" l="1"/>
  <c r="T13" i="4"/>
  <c r="T15" i="4" s="1"/>
  <c r="T23" i="4" s="1"/>
  <c r="N16" i="6"/>
  <c r="L18" i="6"/>
  <c r="N18" i="6"/>
  <c r="K14" i="5"/>
  <c r="C26" i="5"/>
  <c r="G19" i="6"/>
  <c r="J19" i="6" s="1"/>
  <c r="N14" i="6"/>
  <c r="L14" i="6"/>
  <c r="L16" i="6" s="1"/>
  <c r="J16" i="6"/>
  <c r="J22" i="6"/>
  <c r="C65" i="5"/>
  <c r="C66" i="5" s="1"/>
  <c r="O7" i="5"/>
  <c r="Q16" i="6"/>
  <c r="O17" i="4"/>
  <c r="K10" i="5"/>
  <c r="I16" i="5"/>
  <c r="T5" i="5"/>
  <c r="O12" i="5" l="1"/>
  <c r="I29" i="5"/>
  <c r="K16" i="5"/>
  <c r="Q7" i="5"/>
  <c r="O10" i="5"/>
  <c r="R14" i="6"/>
  <c r="C35" i="5" s="1"/>
  <c r="C39" i="5" s="1"/>
  <c r="M16" i="6"/>
  <c r="Q17" i="4"/>
  <c r="O20" i="4"/>
  <c r="N19" i="6"/>
  <c r="N22" i="6" s="1"/>
  <c r="L19" i="6"/>
  <c r="L22" i="6" s="1"/>
  <c r="M22" i="6" s="1"/>
  <c r="R20" i="6" s="1"/>
  <c r="K29" i="5" l="1"/>
  <c r="I30" i="5"/>
  <c r="I31" i="5" s="1"/>
  <c r="O15" i="5"/>
  <c r="Q15" i="5" s="1"/>
  <c r="Q10" i="5"/>
  <c r="Q20" i="4"/>
  <c r="T8" i="4"/>
  <c r="T9" i="4" s="1"/>
  <c r="Q12" i="5"/>
  <c r="T13" i="5" l="1"/>
  <c r="T15" i="5" s="1"/>
  <c r="O24" i="5"/>
  <c r="K31" i="5"/>
  <c r="O17" i="5"/>
  <c r="O29" i="5" l="1"/>
  <c r="Q29" i="5" s="1"/>
  <c r="Q24" i="5"/>
  <c r="Q17" i="5"/>
  <c r="O20" i="5"/>
  <c r="T23" i="5"/>
  <c r="T25" i="5"/>
  <c r="V25" i="5" s="1"/>
  <c r="Q20" i="5" l="1"/>
  <c r="T8" i="5"/>
  <c r="T9" i="5" s="1"/>
</calcChain>
</file>

<file path=xl/sharedStrings.xml><?xml version="1.0" encoding="utf-8"?>
<sst xmlns="http://schemas.openxmlformats.org/spreadsheetml/2006/main" count="992" uniqueCount="329">
  <si>
    <t>TRESORERIE</t>
  </si>
  <si>
    <t>BILAN</t>
  </si>
  <si>
    <t>Données</t>
  </si>
  <si>
    <t>Valeur</t>
  </si>
  <si>
    <t>Unité</t>
  </si>
  <si>
    <t>Valeurs</t>
  </si>
  <si>
    <t>Actif</t>
  </si>
  <si>
    <t>Investissement initial en capital</t>
  </si>
  <si>
    <t>k €</t>
  </si>
  <si>
    <t>Dipsonibilités</t>
  </si>
  <si>
    <t>Actif total</t>
  </si>
  <si>
    <t>Entrées</t>
  </si>
  <si>
    <t>Apport en capital</t>
  </si>
  <si>
    <t>Passif</t>
  </si>
  <si>
    <t>Disponibilités fin</t>
  </si>
  <si>
    <t>Capital social</t>
  </si>
  <si>
    <t>Total passif</t>
  </si>
  <si>
    <t>Stock produit</t>
  </si>
  <si>
    <t>k unité</t>
  </si>
  <si>
    <t xml:space="preserve">COMPTE DE RESULTAT </t>
  </si>
  <si>
    <t>ETAT DE TRESORERIE</t>
  </si>
  <si>
    <t>BILAN APRES IMPOT</t>
  </si>
  <si>
    <t>Prévisions</t>
  </si>
  <si>
    <t>Réalisations</t>
  </si>
  <si>
    <t>Ecarts</t>
  </si>
  <si>
    <t>Previsions</t>
  </si>
  <si>
    <t>Analyse de rentabilité par zone</t>
  </si>
  <si>
    <t>CHARGES</t>
  </si>
  <si>
    <t>Encaisse initiale</t>
  </si>
  <si>
    <t>COUTS DIRECTS</t>
  </si>
  <si>
    <t xml:space="preserve">PRODUCTION   </t>
  </si>
  <si>
    <t>matière et composant</t>
  </si>
  <si>
    <t>6€ / produit</t>
  </si>
  <si>
    <t>Valeurs nette immobilières</t>
  </si>
  <si>
    <t>Couts marchandises vendues</t>
  </si>
  <si>
    <t>Production décidée</t>
  </si>
  <si>
    <t>personel productif</t>
  </si>
  <si>
    <t>Salaire</t>
  </si>
  <si>
    <t>Ventes encaissées</t>
  </si>
  <si>
    <t>Stocks</t>
  </si>
  <si>
    <t>Quantité vendue</t>
  </si>
  <si>
    <t xml:space="preserve">Points de vente </t>
  </si>
  <si>
    <t>heures suplementaires</t>
  </si>
  <si>
    <t>Produits financiers</t>
  </si>
  <si>
    <t>Créances clients</t>
  </si>
  <si>
    <t>CMV/quantités vendues</t>
  </si>
  <si>
    <t>France</t>
  </si>
  <si>
    <t>salaire representants</t>
  </si>
  <si>
    <t>salaire + comission</t>
  </si>
  <si>
    <t>Cession immobilisations</t>
  </si>
  <si>
    <t>Disponibilités</t>
  </si>
  <si>
    <t>Suisse</t>
  </si>
  <si>
    <t>autres frais</t>
  </si>
  <si>
    <t>5% CA</t>
  </si>
  <si>
    <t>augmentation de capital</t>
  </si>
  <si>
    <t>TOTAL Actif</t>
  </si>
  <si>
    <t>Coût marchandise vendue</t>
  </si>
  <si>
    <t>Prix de ventes</t>
  </si>
  <si>
    <t>cout de stockage</t>
  </si>
  <si>
    <t>Emprunt à long terme</t>
  </si>
  <si>
    <t>Com &amp; Pub</t>
  </si>
  <si>
    <t>entre 28 et 70</t>
  </si>
  <si>
    <t>maintenance et formation</t>
  </si>
  <si>
    <t>30*nb machine + forma</t>
  </si>
  <si>
    <t>Total des encaissements</t>
  </si>
  <si>
    <t xml:space="preserve">Représentant </t>
  </si>
  <si>
    <t>recherche et qualité</t>
  </si>
  <si>
    <t>Capital</t>
  </si>
  <si>
    <t>Autres frais</t>
  </si>
  <si>
    <t>Pub</t>
  </si>
  <si>
    <t>frais financiers</t>
  </si>
  <si>
    <t>emprunt et découvert</t>
  </si>
  <si>
    <t>Frais payés</t>
  </si>
  <si>
    <t>Réserves</t>
  </si>
  <si>
    <t>Total</t>
  </si>
  <si>
    <t>communication et pub</t>
  </si>
  <si>
    <t>Achat immobilisations</t>
  </si>
  <si>
    <t>Déficit cumulé</t>
  </si>
  <si>
    <t>Chiffre d'Affaires</t>
  </si>
  <si>
    <t>dot. amortissement</t>
  </si>
  <si>
    <t>10% par an</t>
  </si>
  <si>
    <t>Remboursement emprunt</t>
  </si>
  <si>
    <t>Capitaux propres</t>
  </si>
  <si>
    <t>Marge</t>
  </si>
  <si>
    <t>Ventes prévues</t>
  </si>
  <si>
    <t>etudes et divers</t>
  </si>
  <si>
    <t>embauche et études</t>
  </si>
  <si>
    <t>impôt payé</t>
  </si>
  <si>
    <t>Emprunt long terme</t>
  </si>
  <si>
    <t>Marge par unité vendue</t>
  </si>
  <si>
    <t>total charges</t>
  </si>
  <si>
    <t>Dividendes versés</t>
  </si>
  <si>
    <t>Fournisseurs</t>
  </si>
  <si>
    <t>FRANCE</t>
  </si>
  <si>
    <t>SUISSE</t>
  </si>
  <si>
    <t>Total des décaissements</t>
  </si>
  <si>
    <t>Découvert bancaire</t>
  </si>
  <si>
    <t>CHARGES INDIRECTES</t>
  </si>
  <si>
    <t>PRODUITS</t>
  </si>
  <si>
    <t>TOTAL Passif</t>
  </si>
  <si>
    <t>Total à répartir</t>
  </si>
  <si>
    <t>Chiffre d'affaire</t>
  </si>
  <si>
    <t>production stockée</t>
  </si>
  <si>
    <t>Encaisse finale</t>
  </si>
  <si>
    <t>Quantité vendue %</t>
  </si>
  <si>
    <t>vente facturée</t>
  </si>
  <si>
    <t>CA</t>
  </si>
  <si>
    <t>Chiffre d'affaire %</t>
  </si>
  <si>
    <t>produit financier</t>
  </si>
  <si>
    <t>Quantité vendue €</t>
  </si>
  <si>
    <t>Cout unitaire</t>
  </si>
  <si>
    <t>Calcul Rentabilité</t>
  </si>
  <si>
    <t>Chiffre d'affaire €</t>
  </si>
  <si>
    <t>total produit</t>
  </si>
  <si>
    <t>Résultat net  P1 (1)</t>
  </si>
  <si>
    <t>INDUSTRIE</t>
  </si>
  <si>
    <t>Dividende P1 (2)</t>
  </si>
  <si>
    <t>RESULTAT PAR ZONE</t>
  </si>
  <si>
    <t>Nb machines</t>
  </si>
  <si>
    <t>unité</t>
  </si>
  <si>
    <t>RESULTAT</t>
  </si>
  <si>
    <t>Capitaux propres début P1 (3)</t>
  </si>
  <si>
    <t>prix par machine</t>
  </si>
  <si>
    <t>k€</t>
  </si>
  <si>
    <t>moins-value de cession</t>
  </si>
  <si>
    <t>Rentabilité globale P1=(1)/(3)</t>
  </si>
  <si>
    <t>Par unité vendue</t>
  </si>
  <si>
    <t xml:space="preserve">               moyenne production par machine</t>
  </si>
  <si>
    <t>p.7</t>
  </si>
  <si>
    <t>resultat avant impot</t>
  </si>
  <si>
    <t>Rentabilité immédiate P1=(2)/(3)</t>
  </si>
  <si>
    <t>Rapport ouvrier/machine</t>
  </si>
  <si>
    <t>impot</t>
  </si>
  <si>
    <t>en % du CA</t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</si>
  <si>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prix machine</t>
    </r>
  </si>
  <si>
    <t xml:space="preserve">resultat apres impot </t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</si>
  <si>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Prod machine</t>
    </r>
  </si>
  <si>
    <t>nombre produits stockés</t>
  </si>
  <si>
    <t>PERSONNEL</t>
  </si>
  <si>
    <t>Employers production</t>
  </si>
  <si>
    <t>salaire ouvrier</t>
  </si>
  <si>
    <t>coût d'embauche</t>
  </si>
  <si>
    <t>10% salaire</t>
  </si>
  <si>
    <t>TOT salaire( sans coût d'embauche)</t>
  </si>
  <si>
    <t>Representants France</t>
  </si>
  <si>
    <t>Moitié des magasins de chaque pays (1 pour 200 max)</t>
  </si>
  <si>
    <t>Representants Suisse</t>
  </si>
  <si>
    <t xml:space="preserve">commision representant </t>
  </si>
  <si>
    <t>%</t>
  </si>
  <si>
    <t>&gt;5% | max 9,9%</t>
  </si>
  <si>
    <t xml:space="preserve">salaire representants </t>
  </si>
  <si>
    <t>frais d'embauche</t>
  </si>
  <si>
    <t>20% salaire</t>
  </si>
  <si>
    <t>STRATEGIE</t>
  </si>
  <si>
    <t>Etudes</t>
  </si>
  <si>
    <t>75-90 | 15 -&gt; rentabilité | 75 -&gt; commerciale</t>
  </si>
  <si>
    <t>R&amp;D</t>
  </si>
  <si>
    <t>Formation</t>
  </si>
  <si>
    <t>&gt;50 (+rendement +qualité) -&gt; -0,15/0,60 prix matières/an | env 3% masse salariale</t>
  </si>
  <si>
    <t>(Coût de la matière)</t>
  </si>
  <si>
    <t>5.7€ / produit</t>
  </si>
  <si>
    <t>ACTIF</t>
  </si>
  <si>
    <t>Embauche +3 rep. par zone</t>
  </si>
  <si>
    <t>Quantité vendue (QV)</t>
  </si>
  <si>
    <t>10% (stock valeur + stock fin)</t>
  </si>
  <si>
    <t>Coût marchandise vendue (CMV)</t>
  </si>
  <si>
    <t>Augmentation +2 France</t>
  </si>
  <si>
    <t>PASSIF</t>
  </si>
  <si>
    <t>Augmentation depuis 400</t>
  </si>
  <si>
    <t>Augmentation depuis 320</t>
  </si>
  <si>
    <t>Coût de revient unitaire (CMV/QV)</t>
  </si>
  <si>
    <t>Augmentation depuis 50</t>
  </si>
  <si>
    <t>Augmentation depuis 42</t>
  </si>
  <si>
    <t>production stockée (variation stock)</t>
  </si>
  <si>
    <t>stock P2 - stock P1</t>
  </si>
  <si>
    <t>stock à la fin P2</t>
  </si>
  <si>
    <t>produits non vendus cette année</t>
  </si>
  <si>
    <t xml:space="preserve">Cout unitaire </t>
  </si>
  <si>
    <t>taxe carbone</t>
  </si>
  <si>
    <t>1€ par produit fabriqué</t>
  </si>
  <si>
    <t>Résultat net P2 (5)</t>
  </si>
  <si>
    <t>Dividende P2 (6)</t>
  </si>
  <si>
    <t>déjà possédés</t>
  </si>
  <si>
    <t>Capitaux propres fin P1 (4)*</t>
  </si>
  <si>
    <t>nouvel achat</t>
  </si>
  <si>
    <t>Grosse augmentation nécessaire</t>
  </si>
  <si>
    <t>Augmentation de capital début P2 (7)</t>
  </si>
  <si>
    <t>Capitaux propres début P2=(4)+(7)=(8)</t>
  </si>
  <si>
    <t>Rentabilité globale P2=(5)/(8)</t>
  </si>
  <si>
    <t>Rentabilité immédiate P2=(6)/(8)</t>
  </si>
  <si>
    <r>
      <rPr>
        <b/>
        <sz val="11"/>
        <color theme="1"/>
        <rFont val="Calibri"/>
        <family val="2"/>
      </rPr>
      <t xml:space="preserve">TOT </t>
    </r>
    <r>
      <rPr>
        <sz val="11"/>
        <color theme="1"/>
        <rFont val="Calibri"/>
        <family val="2"/>
      </rPr>
      <t>machine valeurs initiale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</si>
  <si>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machine net valeurs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</si>
  <si>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Prod machine</t>
    </r>
  </si>
  <si>
    <t>anciens ouvriers</t>
  </si>
  <si>
    <t>nouveaux ouvriers</t>
  </si>
  <si>
    <t>Idem</t>
  </si>
  <si>
    <t>Augmentation depuis 18,5</t>
  </si>
  <si>
    <t>TOT salaire (sans coût d'embauche)</t>
  </si>
  <si>
    <t>ancien representants France</t>
  </si>
  <si>
    <t>1 pour 200 MAX</t>
  </si>
  <si>
    <t>ancien representants Suisse</t>
  </si>
  <si>
    <t>nouveaux représentants France</t>
  </si>
  <si>
    <t>unite</t>
  </si>
  <si>
    <t>nouveaux représentants Suisse</t>
  </si>
  <si>
    <t>5.4€ / produit</t>
  </si>
  <si>
    <t>ESPAGNE</t>
  </si>
  <si>
    <t>Valeurs nette immobilière</t>
  </si>
  <si>
    <t>Ancien: 2,6</t>
  </si>
  <si>
    <t>Ancien: 2,2</t>
  </si>
  <si>
    <t>Augmentation de capital</t>
  </si>
  <si>
    <t>Espagne</t>
  </si>
  <si>
    <t>Ancien: 52</t>
  </si>
  <si>
    <t>Ancien: 60</t>
  </si>
  <si>
    <t>Ancien: 42</t>
  </si>
  <si>
    <t>Ancien: 500</t>
  </si>
  <si>
    <t>Ancien: 600</t>
  </si>
  <si>
    <t>Ancien: 0</t>
  </si>
  <si>
    <t>Ancien: 85,5</t>
  </si>
  <si>
    <t>stock P3 - stock P2</t>
  </si>
  <si>
    <t>Ancien: 80</t>
  </si>
  <si>
    <t>stock à la fin P3</t>
  </si>
  <si>
    <t>Ancien: 4702,5</t>
  </si>
  <si>
    <t>Ancien: 5200</t>
  </si>
  <si>
    <t>5% de la dernière encaisse</t>
  </si>
  <si>
    <t>Résultats net P3 (10)</t>
  </si>
  <si>
    <t>Dividende P3 (11)</t>
  </si>
  <si>
    <t>Ancien: 30,4</t>
  </si>
  <si>
    <t>Capitaux propres fin P2 (9)*</t>
  </si>
  <si>
    <t>Augmentation de capital début P3 (12)</t>
  </si>
  <si>
    <t>Capitaux propres début P3(13)=(9)+(12)</t>
  </si>
  <si>
    <t>Rentabilité globale P3=(10)/(13)</t>
  </si>
  <si>
    <t>Rentabilité immédiate P3=(11)/(13)</t>
  </si>
  <si>
    <t>Ancien: 7</t>
  </si>
  <si>
    <t>vente de machines</t>
  </si>
  <si>
    <t>p.7 - ATTENTION, changer case a chaque période</t>
  </si>
  <si>
    <r>
      <rPr>
        <b/>
        <sz val="11"/>
        <color theme="1"/>
        <rFont val="Calibri"/>
        <family val="2"/>
      </rPr>
      <t xml:space="preserve">TOT </t>
    </r>
    <r>
      <rPr>
        <sz val="11"/>
        <color theme="1"/>
        <rFont val="Calibri"/>
        <family val="2"/>
      </rPr>
      <t>machine valeurs initiale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</si>
  <si>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machine net valeurs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</si>
  <si>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Prod machine</t>
    </r>
  </si>
  <si>
    <t>Ancien: 21</t>
  </si>
  <si>
    <t>anciens representants France</t>
  </si>
  <si>
    <t>Ancien : 24 (total)</t>
  </si>
  <si>
    <t>anciens representants Suisse</t>
  </si>
  <si>
    <t>anciens representants Espagne</t>
  </si>
  <si>
    <t xml:space="preserve">unité </t>
  </si>
  <si>
    <t>nouveaux representants Espagne</t>
  </si>
  <si>
    <t>FINANCE</t>
  </si>
  <si>
    <t>Disponibilité dans période N-1</t>
  </si>
  <si>
    <t>Vente de machine</t>
  </si>
  <si>
    <t>Prix de vente</t>
  </si>
  <si>
    <t>Budget Total</t>
  </si>
  <si>
    <t>Budget requis</t>
  </si>
  <si>
    <t>Prix pour immobiliers</t>
  </si>
  <si>
    <t>Emprunt Bancaire</t>
  </si>
  <si>
    <t>Approximation des budgets manquants</t>
  </si>
  <si>
    <t>NON PREVISIONNEL</t>
  </si>
  <si>
    <t>5€ / produit</t>
  </si>
  <si>
    <t>Ancien: 700</t>
  </si>
  <si>
    <t>Ancien: 50</t>
  </si>
  <si>
    <t>Produits à vendre</t>
  </si>
  <si>
    <t>Ancien prévu: 145, réalisé: 171,7</t>
  </si>
  <si>
    <t>Ancien prévu: 135, réalisé: 99,3</t>
  </si>
  <si>
    <t>stock à la fin P4</t>
  </si>
  <si>
    <t>Ancien prévu: 15, réalisé: 3,6</t>
  </si>
  <si>
    <t>Ancien:9443,5</t>
  </si>
  <si>
    <t>Ancien: 6454,5</t>
  </si>
  <si>
    <t>Résultats net P4</t>
  </si>
  <si>
    <t>Dividende P4</t>
  </si>
  <si>
    <t>Taux d'endettement*</t>
  </si>
  <si>
    <t>Ancien: 24,84</t>
  </si>
  <si>
    <t>Capitaux propres fin P3</t>
  </si>
  <si>
    <t>*max=100</t>
  </si>
  <si>
    <t>Augmentation de capital début P4</t>
  </si>
  <si>
    <t>Capitaux propres début P4</t>
  </si>
  <si>
    <t>Rentabilité globale P4</t>
  </si>
  <si>
    <t>Rentabilité immédiate P4</t>
  </si>
  <si>
    <t>Ancien: 14</t>
  </si>
  <si>
    <t>moyenne production par machine</t>
  </si>
  <si>
    <r>
      <rPr>
        <b/>
        <sz val="11"/>
        <color theme="1"/>
        <rFont val="Calibri"/>
        <family val="2"/>
      </rPr>
      <t xml:space="preserve">TOT </t>
    </r>
    <r>
      <rPr>
        <sz val="11"/>
        <color theme="1"/>
        <rFont val="Calibri"/>
        <family val="2"/>
      </rPr>
      <t>machine valeurs initiale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</si>
  <si>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machine net valeurs</t>
    </r>
  </si>
  <si>
    <r>
      <rPr>
        <b/>
        <sz val="11"/>
        <color theme="1"/>
        <rFont val="Calibri"/>
        <family val="2"/>
      </rPr>
      <t>TOT</t>
    </r>
    <r>
      <rPr>
        <sz val="11"/>
        <color theme="1"/>
        <rFont val="Calibri"/>
        <family val="2"/>
      </rPr>
      <t xml:space="preserve"> Prod machine</t>
    </r>
  </si>
  <si>
    <t>Ancien: 22,5</t>
  </si>
  <si>
    <t>Ancien : 24 (total) (1 démission comptée)</t>
  </si>
  <si>
    <t>Ancien : 400</t>
  </si>
  <si>
    <t>DONNEES</t>
  </si>
  <si>
    <t>SUIVI DES IMMOBILISATIONS ET DU POTENTIEL MOYEN DE PRODUCTION</t>
  </si>
  <si>
    <t>Légende</t>
  </si>
  <si>
    <t>nb de machines dans l'usine</t>
  </si>
  <si>
    <t>rendement (en ku)</t>
  </si>
  <si>
    <t>Nb d'UC</t>
  </si>
  <si>
    <t>achat</t>
  </si>
  <si>
    <t>vente</t>
  </si>
  <si>
    <t>Taux</t>
  </si>
  <si>
    <t>Equivalent productif</t>
  </si>
  <si>
    <t>Taux potentiel moyen</t>
  </si>
  <si>
    <t>Valeurs nettes</t>
  </si>
  <si>
    <t>Vente de machines</t>
  </si>
  <si>
    <t>Achat de machines</t>
  </si>
  <si>
    <t>Achat - Vente</t>
  </si>
  <si>
    <t>Capacité de production</t>
  </si>
  <si>
    <t>En rouge = donné par la feuille PERIODE</t>
  </si>
  <si>
    <t>(fin N-1)</t>
  </si>
  <si>
    <t>(début N)</t>
  </si>
  <si>
    <t>(lié à l'usure)</t>
  </si>
  <si>
    <t>(nb d'UC)</t>
  </si>
  <si>
    <t>(k€)</t>
  </si>
  <si>
    <t>(en ku)</t>
  </si>
  <si>
    <t>formule pas générale</t>
  </si>
  <si>
    <t>P2</t>
  </si>
  <si>
    <t>N=1</t>
  </si>
  <si>
    <t>&lt;- normale</t>
  </si>
  <si>
    <t>formule liée à des données d'une autre feuille</t>
  </si>
  <si>
    <t>N=2</t>
  </si>
  <si>
    <t>&lt;- maximale</t>
  </si>
  <si>
    <t>P3</t>
  </si>
  <si>
    <t>&lt;- rajouter effectif/nb machines (FAIT)</t>
  </si>
  <si>
    <t>N=3</t>
  </si>
  <si>
    <r>
      <rPr>
        <sz val="11"/>
        <color theme="1"/>
        <rFont val="Calibri"/>
        <family val="2"/>
      </rPr>
      <t xml:space="preserve">CAD : *MIN(10;'Période </t>
    </r>
    <r>
      <rPr>
        <sz val="11"/>
        <color rgb="FFFF0000"/>
        <rFont val="Calibri"/>
        <family val="2"/>
      </rPr>
      <t>2</t>
    </r>
    <r>
      <rPr>
        <sz val="11"/>
        <color theme="1"/>
        <rFont val="Calibri"/>
        <family val="2"/>
      </rPr>
      <t>'!</t>
    </r>
    <r>
      <rPr>
        <sz val="11"/>
        <color rgb="FFFF0000"/>
        <rFont val="Calibri"/>
        <family val="2"/>
      </rPr>
      <t>C35</t>
    </r>
    <r>
      <rPr>
        <sz val="11"/>
        <color theme="1"/>
        <rFont val="Calibri"/>
        <family val="2"/>
      </rPr>
      <t>/</t>
    </r>
    <r>
      <rPr>
        <sz val="11"/>
        <color rgb="FFFF0000"/>
        <rFont val="Calibri"/>
        <family val="2"/>
      </rPr>
      <t>J7</t>
    </r>
    <r>
      <rPr>
        <sz val="11"/>
        <color theme="1"/>
        <rFont val="Calibri"/>
        <family val="2"/>
      </rPr>
      <t>)/10</t>
    </r>
  </si>
  <si>
    <t>machine isolée</t>
  </si>
  <si>
    <t>P4</t>
  </si>
  <si>
    <t>amortissement</t>
  </si>
  <si>
    <t>linéaire sur 10 ans</t>
  </si>
  <si>
    <t>baisse de rendement</t>
  </si>
  <si>
    <t>moins 10% par an</t>
  </si>
  <si>
    <t>N=4</t>
  </si>
  <si>
    <t>Prix de machine inititale</t>
  </si>
  <si>
    <t xml:space="preserve">Taux </t>
  </si>
  <si>
    <t>P5</t>
  </si>
  <si>
    <t>&lt;- rajouter effectif/nb machines</t>
  </si>
  <si>
    <t>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</si>
</sst>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€-1]"/>
    <numFmt numFmtId="165" formatCode="#,##0.00\ [$€-1]"/>
    <numFmt numFmtId="166" formatCode="0.000"/>
  </numFmts>
  <fonts count="14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Docs-Calibri"/>
    </font>
    <font>
      <sz val="11"/>
      <color rgb="FFFF0000"/>
      <name val="Calibri"/>
      <family val="2"/>
    </font>
    <font>
      <sz val="10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FE2F3"/>
        <bgColor rgb="FFCFE2F3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3" fillId="3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7" xfId="0" applyFont="1" applyFill="1" applyBorder="1"/>
    <xf numFmtId="0" fontId="5" fillId="0" borderId="7" xfId="0" applyFont="1" applyBorder="1"/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5" fillId="0" borderId="0" xfId="0" applyFont="1"/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0" fontId="7" fillId="5" borderId="7" xfId="0" applyFont="1" applyFill="1" applyBorder="1"/>
    <xf numFmtId="164" fontId="3" fillId="5" borderId="7" xfId="0" applyNumberFormat="1" applyFont="1" applyFill="1" applyBorder="1"/>
    <xf numFmtId="0" fontId="1" fillId="7" borderId="23" xfId="0" applyFont="1" applyFill="1" applyBorder="1"/>
    <xf numFmtId="0" fontId="3" fillId="7" borderId="24" xfId="0" applyFont="1" applyFill="1" applyBorder="1"/>
    <xf numFmtId="0" fontId="3" fillId="7" borderId="25" xfId="0" applyFont="1" applyFill="1" applyBorder="1"/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7" fillId="0" borderId="7" xfId="0" applyFont="1" applyBorder="1"/>
    <xf numFmtId="164" fontId="3" fillId="0" borderId="7" xfId="0" applyNumberFormat="1" applyFont="1" applyBorder="1"/>
    <xf numFmtId="164" fontId="3" fillId="8" borderId="7" xfId="0" applyNumberFormat="1" applyFont="1" applyFill="1" applyBorder="1"/>
    <xf numFmtId="0" fontId="3" fillId="0" borderId="26" xfId="0" applyFont="1" applyBorder="1"/>
    <xf numFmtId="164" fontId="3" fillId="0" borderId="27" xfId="0" applyNumberFormat="1" applyFont="1" applyBorder="1"/>
    <xf numFmtId="164" fontId="3" fillId="0" borderId="28" xfId="0" applyNumberFormat="1" applyFont="1" applyBorder="1"/>
    <xf numFmtId="164" fontId="5" fillId="0" borderId="7" xfId="0" applyNumberFormat="1" applyFont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7" borderId="23" xfId="0" applyFont="1" applyFill="1" applyBorder="1"/>
    <xf numFmtId="164" fontId="3" fillId="7" borderId="24" xfId="0" applyNumberFormat="1" applyFont="1" applyFill="1" applyBorder="1"/>
    <xf numFmtId="164" fontId="3" fillId="10" borderId="28" xfId="0" applyNumberFormat="1" applyFont="1" applyFill="1" applyBorder="1"/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11" borderId="7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8" fillId="0" borderId="26" xfId="0" applyFont="1" applyBorder="1"/>
    <xf numFmtId="0" fontId="8" fillId="9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64" fontId="3" fillId="7" borderId="25" xfId="0" applyNumberFormat="1" applyFont="1" applyFill="1" applyBorder="1"/>
    <xf numFmtId="0" fontId="8" fillId="15" borderId="7" xfId="0" applyFont="1" applyFill="1" applyBorder="1"/>
    <xf numFmtId="164" fontId="3" fillId="15" borderId="7" xfId="0" applyNumberFormat="1" applyFont="1" applyFill="1" applyBorder="1"/>
    <xf numFmtId="0" fontId="1" fillId="0" borderId="26" xfId="0" applyFont="1" applyBorder="1"/>
    <xf numFmtId="0" fontId="8" fillId="5" borderId="7" xfId="0" applyFont="1" applyFill="1" applyBorder="1"/>
    <xf numFmtId="164" fontId="3" fillId="16" borderId="7" xfId="0" applyNumberFormat="1" applyFont="1" applyFill="1" applyBorder="1"/>
    <xf numFmtId="164" fontId="3" fillId="8" borderId="25" xfId="0" applyNumberFormat="1" applyFont="1" applyFill="1" applyBorder="1"/>
    <xf numFmtId="2" fontId="3" fillId="4" borderId="7" xfId="0" applyNumberFormat="1" applyFont="1" applyFill="1" applyBorder="1" applyAlignment="1">
      <alignment horizontal="center" wrapText="1"/>
    </xf>
    <xf numFmtId="0" fontId="6" fillId="17" borderId="7" xfId="0" applyFont="1" applyFill="1" applyBorder="1" applyAlignment="1">
      <alignment horizontal="center"/>
    </xf>
    <xf numFmtId="2" fontId="3" fillId="11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 wrapText="1"/>
    </xf>
    <xf numFmtId="0" fontId="8" fillId="0" borderId="7" xfId="0" applyFont="1" applyBorder="1"/>
    <xf numFmtId="0" fontId="5" fillId="19" borderId="7" xfId="0" applyFont="1" applyFill="1" applyBorder="1" applyAlignment="1">
      <alignment horizontal="center"/>
    </xf>
    <xf numFmtId="2" fontId="3" fillId="11" borderId="7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3" fillId="12" borderId="32" xfId="0" applyFont="1" applyFill="1" applyBorder="1" applyAlignment="1">
      <alignment horizontal="center"/>
    </xf>
    <xf numFmtId="0" fontId="3" fillId="12" borderId="33" xfId="0" applyFont="1" applyFill="1" applyBorder="1" applyAlignment="1">
      <alignment horizontal="center"/>
    </xf>
    <xf numFmtId="0" fontId="4" fillId="20" borderId="7" xfId="0" applyFont="1" applyFill="1" applyBorder="1"/>
    <xf numFmtId="164" fontId="4" fillId="20" borderId="7" xfId="0" applyNumberFormat="1" applyFont="1" applyFill="1" applyBorder="1"/>
    <xf numFmtId="0" fontId="4" fillId="14" borderId="7" xfId="0" applyFont="1" applyFill="1" applyBorder="1"/>
    <xf numFmtId="164" fontId="4" fillId="14" borderId="7" xfId="0" applyNumberFormat="1" applyFont="1" applyFill="1" applyBorder="1"/>
    <xf numFmtId="10" fontId="4" fillId="14" borderId="7" xfId="0" applyNumberFormat="1" applyFont="1" applyFill="1" applyBorder="1"/>
    <xf numFmtId="10" fontId="4" fillId="20" borderId="7" xfId="0" applyNumberFormat="1" applyFont="1" applyFill="1" applyBorder="1"/>
    <xf numFmtId="10" fontId="3" fillId="0" borderId="7" xfId="0" applyNumberFormat="1" applyFont="1" applyBorder="1" applyAlignment="1">
      <alignment horizontal="center"/>
    </xf>
    <xf numFmtId="0" fontId="3" fillId="12" borderId="34" xfId="0" applyFont="1" applyFill="1" applyBorder="1" applyAlignment="1">
      <alignment horizontal="center"/>
    </xf>
    <xf numFmtId="2" fontId="3" fillId="12" borderId="35" xfId="0" applyNumberFormat="1" applyFont="1" applyFill="1" applyBorder="1" applyAlignment="1">
      <alignment horizontal="center"/>
    </xf>
    <xf numFmtId="0" fontId="3" fillId="12" borderId="35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12" borderId="40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/>
    </xf>
    <xf numFmtId="0" fontId="3" fillId="12" borderId="44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7" borderId="7" xfId="0" applyFont="1" applyFill="1" applyBorder="1"/>
    <xf numFmtId="0" fontId="3" fillId="7" borderId="7" xfId="0" applyFont="1" applyFill="1" applyBorder="1"/>
    <xf numFmtId="0" fontId="3" fillId="16" borderId="7" xfId="0" applyFont="1" applyFill="1" applyBorder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3" fillId="21" borderId="7" xfId="0" applyFont="1" applyFill="1" applyBorder="1" applyAlignment="1">
      <alignment horizontal="center"/>
    </xf>
    <xf numFmtId="164" fontId="3" fillId="7" borderId="7" xfId="0" applyNumberFormat="1" applyFont="1" applyFill="1" applyBorder="1"/>
    <xf numFmtId="0" fontId="5" fillId="7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2" fontId="5" fillId="7" borderId="7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165" fontId="3" fillId="5" borderId="7" xfId="0" applyNumberFormat="1" applyFont="1" applyFill="1" applyBorder="1"/>
    <xf numFmtId="0" fontId="1" fillId="0" borderId="7" xfId="0" applyFont="1" applyBorder="1"/>
    <xf numFmtId="0" fontId="4" fillId="0" borderId="7" xfId="0" applyFont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3" fillId="21" borderId="7" xfId="0" applyNumberFormat="1" applyFont="1" applyFill="1" applyBorder="1" applyAlignment="1">
      <alignment horizontal="center" wrapText="1"/>
    </xf>
    <xf numFmtId="0" fontId="1" fillId="15" borderId="7" xfId="0" applyFont="1" applyFill="1" applyBorder="1" applyAlignment="1">
      <alignment horizontal="center"/>
    </xf>
    <xf numFmtId="164" fontId="3" fillId="15" borderId="7" xfId="0" applyNumberFormat="1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165" fontId="3" fillId="5" borderId="7" xfId="0" applyNumberFormat="1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2" fontId="5" fillId="17" borderId="7" xfId="0" applyNumberFormat="1" applyFont="1" applyFill="1" applyBorder="1" applyAlignment="1">
      <alignment horizontal="center"/>
    </xf>
    <xf numFmtId="0" fontId="3" fillId="21" borderId="7" xfId="0" applyFont="1" applyFill="1" applyBorder="1" applyAlignment="1">
      <alignment horizontal="center" wrapText="1"/>
    </xf>
    <xf numFmtId="165" fontId="3" fillId="0" borderId="7" xfId="0" applyNumberFormat="1" applyFont="1" applyBorder="1"/>
    <xf numFmtId="165" fontId="3" fillId="8" borderId="7" xfId="0" applyNumberFormat="1" applyFont="1" applyFill="1" applyBorder="1"/>
    <xf numFmtId="0" fontId="8" fillId="8" borderId="7" xfId="0" applyFont="1" applyFill="1" applyBorder="1"/>
    <xf numFmtId="0" fontId="4" fillId="0" borderId="7" xfId="0" applyFont="1" applyBorder="1"/>
    <xf numFmtId="0" fontId="5" fillId="8" borderId="7" xfId="0" applyFont="1" applyFill="1" applyBorder="1" applyAlignment="1">
      <alignment horizontal="center"/>
    </xf>
    <xf numFmtId="164" fontId="5" fillId="8" borderId="7" xfId="0" applyNumberFormat="1" applyFont="1" applyFill="1" applyBorder="1" applyAlignment="1">
      <alignment horizontal="center"/>
    </xf>
    <xf numFmtId="2" fontId="3" fillId="12" borderId="7" xfId="0" applyNumberFormat="1" applyFont="1" applyFill="1" applyBorder="1" applyAlignment="1">
      <alignment horizontal="center"/>
    </xf>
    <xf numFmtId="164" fontId="3" fillId="16" borderId="7" xfId="0" applyNumberFormat="1" applyFont="1" applyFill="1" applyBorder="1" applyAlignment="1">
      <alignment horizontal="center"/>
    </xf>
    <xf numFmtId="2" fontId="5" fillId="11" borderId="7" xfId="0" applyNumberFormat="1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2" fontId="4" fillId="20" borderId="7" xfId="0" applyNumberFormat="1" applyFont="1" applyFill="1" applyBorder="1"/>
    <xf numFmtId="2" fontId="4" fillId="14" borderId="7" xfId="0" applyNumberFormat="1" applyFont="1" applyFill="1" applyBorder="1"/>
    <xf numFmtId="10" fontId="3" fillId="16" borderId="7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0" xfId="0" applyFont="1" applyBorder="1" applyAlignment="1">
      <alignment horizontal="center"/>
    </xf>
    <xf numFmtId="0" fontId="3" fillId="22" borderId="45" xfId="0" applyFont="1" applyFill="1" applyBorder="1" applyAlignment="1">
      <alignment horizontal="center"/>
    </xf>
    <xf numFmtId="0" fontId="3" fillId="11" borderId="45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64" fontId="3" fillId="0" borderId="45" xfId="0" applyNumberFormat="1" applyFont="1" applyBorder="1" applyAlignment="1">
      <alignment horizontal="center"/>
    </xf>
    <xf numFmtId="0" fontId="3" fillId="0" borderId="45" xfId="0" applyFont="1" applyBorder="1"/>
    <xf numFmtId="0" fontId="3" fillId="0" borderId="45" xfId="0" applyFont="1" applyBorder="1" applyAlignment="1">
      <alignment horizontal="center"/>
    </xf>
    <xf numFmtId="166" fontId="3" fillId="0" borderId="45" xfId="0" applyNumberFormat="1" applyFont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2" fontId="3" fillId="22" borderId="45" xfId="0" applyNumberFormat="1" applyFont="1" applyFill="1" applyBorder="1" applyAlignment="1">
      <alignment horizontal="center"/>
    </xf>
    <xf numFmtId="2" fontId="3" fillId="11" borderId="45" xfId="0" applyNumberFormat="1" applyFont="1" applyFill="1" applyBorder="1" applyAlignment="1">
      <alignment horizontal="center"/>
    </xf>
    <xf numFmtId="2" fontId="3" fillId="2" borderId="45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/>
    </xf>
    <xf numFmtId="2" fontId="3" fillId="17" borderId="45" xfId="0" applyNumberFormat="1" applyFont="1" applyFill="1" applyBorder="1" applyAlignment="1">
      <alignment horizontal="center"/>
    </xf>
    <xf numFmtId="0" fontId="3" fillId="0" borderId="30" xfId="0" applyFont="1" applyBorder="1"/>
    <xf numFmtId="0" fontId="3" fillId="8" borderId="45" xfId="0" applyFont="1" applyFill="1" applyBorder="1"/>
    <xf numFmtId="164" fontId="3" fillId="8" borderId="45" xfId="0" applyNumberFormat="1" applyFont="1" applyFill="1" applyBorder="1" applyAlignment="1">
      <alignment horizontal="center"/>
    </xf>
    <xf numFmtId="2" fontId="3" fillId="22" borderId="45" xfId="0" applyNumberFormat="1" applyFont="1" applyFill="1" applyBorder="1"/>
    <xf numFmtId="2" fontId="3" fillId="4" borderId="7" xfId="0" applyNumberFormat="1" applyFont="1" applyFill="1" applyBorder="1" applyAlignment="1">
      <alignment horizontal="center"/>
    </xf>
    <xf numFmtId="0" fontId="3" fillId="12" borderId="46" xfId="0" applyFont="1" applyFill="1" applyBorder="1" applyAlignment="1">
      <alignment horizontal="center"/>
    </xf>
    <xf numFmtId="0" fontId="3" fillId="12" borderId="47" xfId="0" applyFont="1" applyFill="1" applyBorder="1" applyAlignment="1">
      <alignment horizontal="center"/>
    </xf>
    <xf numFmtId="0" fontId="3" fillId="12" borderId="48" xfId="0" applyFont="1" applyFill="1" applyBorder="1" applyAlignment="1">
      <alignment horizontal="center"/>
    </xf>
    <xf numFmtId="0" fontId="3" fillId="20" borderId="7" xfId="0" applyFont="1" applyFill="1" applyBorder="1"/>
    <xf numFmtId="164" fontId="3" fillId="20" borderId="7" xfId="0" applyNumberFormat="1" applyFont="1" applyFill="1" applyBorder="1"/>
    <xf numFmtId="0" fontId="3" fillId="14" borderId="7" xfId="0" applyFont="1" applyFill="1" applyBorder="1"/>
    <xf numFmtId="10" fontId="3" fillId="14" borderId="7" xfId="0" applyNumberFormat="1" applyFont="1" applyFill="1" applyBorder="1"/>
    <xf numFmtId="0" fontId="3" fillId="20" borderId="7" xfId="0" applyFont="1" applyFill="1" applyBorder="1" applyAlignment="1">
      <alignment horizontal="right"/>
    </xf>
    <xf numFmtId="0" fontId="1" fillId="24" borderId="7" xfId="0" applyFont="1" applyFill="1" applyBorder="1" applyAlignment="1">
      <alignment horizontal="center"/>
    </xf>
    <xf numFmtId="0" fontId="3" fillId="24" borderId="7" xfId="0" applyFont="1" applyFill="1" applyBorder="1" applyAlignment="1">
      <alignment horizontal="center"/>
    </xf>
    <xf numFmtId="2" fontId="3" fillId="24" borderId="7" xfId="0" applyNumberFormat="1" applyFont="1" applyFill="1" applyBorder="1" applyAlignment="1">
      <alignment horizontal="center"/>
    </xf>
    <xf numFmtId="0" fontId="3" fillId="12" borderId="49" xfId="0" applyFont="1" applyFill="1" applyBorder="1" applyAlignment="1">
      <alignment horizontal="center"/>
    </xf>
    <xf numFmtId="2" fontId="3" fillId="12" borderId="50" xfId="0" applyNumberFormat="1" applyFont="1" applyFill="1" applyBorder="1" applyAlignment="1">
      <alignment horizontal="center"/>
    </xf>
    <xf numFmtId="0" fontId="3" fillId="12" borderId="50" xfId="0" applyFont="1" applyFill="1" applyBorder="1" applyAlignment="1">
      <alignment horizontal="center"/>
    </xf>
    <xf numFmtId="0" fontId="3" fillId="12" borderId="51" xfId="0" applyFont="1" applyFill="1" applyBorder="1" applyAlignment="1">
      <alignment horizontal="center"/>
    </xf>
    <xf numFmtId="0" fontId="4" fillId="5" borderId="7" xfId="0" applyFont="1" applyFill="1" applyBorder="1"/>
    <xf numFmtId="0" fontId="3" fillId="9" borderId="1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vertical="center" wrapText="1"/>
    </xf>
    <xf numFmtId="0" fontId="4" fillId="21" borderId="7" xfId="0" applyFont="1" applyFill="1" applyBorder="1"/>
    <xf numFmtId="164" fontId="4" fillId="21" borderId="7" xfId="0" applyNumberFormat="1" applyFont="1" applyFill="1" applyBorder="1"/>
    <xf numFmtId="164" fontId="4" fillId="0" borderId="7" xfId="0" applyNumberFormat="1" applyFont="1" applyBorder="1"/>
    <xf numFmtId="0" fontId="3" fillId="0" borderId="3" xfId="0" applyFont="1" applyBorder="1"/>
    <xf numFmtId="0" fontId="3" fillId="22" borderId="45" xfId="0" applyFont="1" applyFill="1" applyBorder="1"/>
    <xf numFmtId="0" fontId="9" fillId="0" borderId="7" xfId="0" applyFont="1" applyBorder="1"/>
    <xf numFmtId="10" fontId="4" fillId="0" borderId="7" xfId="0" applyNumberFormat="1" applyFont="1" applyBorder="1"/>
    <xf numFmtId="0" fontId="4" fillId="0" borderId="0" xfId="0" applyFont="1"/>
    <xf numFmtId="0" fontId="3" fillId="0" borderId="0" xfId="0" applyFont="1"/>
    <xf numFmtId="0" fontId="10" fillId="0" borderId="0" xfId="0" applyFont="1"/>
    <xf numFmtId="0" fontId="3" fillId="8" borderId="0" xfId="0" applyFont="1" applyFill="1"/>
    <xf numFmtId="0" fontId="3" fillId="0" borderId="1" xfId="0" applyFont="1" applyBorder="1"/>
    <xf numFmtId="0" fontId="1" fillId="0" borderId="3" xfId="0" applyFont="1" applyBorder="1"/>
    <xf numFmtId="0" fontId="3" fillId="26" borderId="56" xfId="0" applyFont="1" applyFill="1" applyBorder="1"/>
    <xf numFmtId="0" fontId="3" fillId="26" borderId="57" xfId="0" applyFont="1" applyFill="1" applyBorder="1"/>
    <xf numFmtId="0" fontId="3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8" fillId="8" borderId="29" xfId="0" applyFont="1" applyFill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3" fillId="0" borderId="56" xfId="0" applyFont="1" applyBorder="1"/>
    <xf numFmtId="0" fontId="10" fillId="0" borderId="57" xfId="0" applyFont="1" applyBorder="1"/>
    <xf numFmtId="0" fontId="3" fillId="0" borderId="57" xfId="0" applyFont="1" applyBorder="1"/>
    <xf numFmtId="0" fontId="3" fillId="0" borderId="58" xfId="0" applyFont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3" fillId="18" borderId="57" xfId="0" applyFont="1" applyFill="1" applyBorder="1"/>
    <xf numFmtId="0" fontId="3" fillId="8" borderId="56" xfId="0" applyFont="1" applyFill="1" applyBorder="1"/>
    <xf numFmtId="0" fontId="3" fillId="27" borderId="52" xfId="0" applyFont="1" applyFill="1" applyBorder="1"/>
    <xf numFmtId="0" fontId="10" fillId="27" borderId="52" xfId="0" applyFont="1" applyFill="1" applyBorder="1"/>
    <xf numFmtId="0" fontId="3" fillId="27" borderId="0" xfId="0" applyFont="1" applyFill="1"/>
    <xf numFmtId="0" fontId="3" fillId="8" borderId="52" xfId="0" applyFont="1" applyFill="1" applyBorder="1"/>
    <xf numFmtId="0" fontId="3" fillId="27" borderId="57" xfId="0" applyFont="1" applyFill="1" applyBorder="1"/>
    <xf numFmtId="10" fontId="3" fillId="8" borderId="56" xfId="0" applyNumberFormat="1" applyFont="1" applyFill="1" applyBorder="1" applyAlignment="1">
      <alignment horizontal="center"/>
    </xf>
    <xf numFmtId="0" fontId="3" fillId="27" borderId="29" xfId="0" applyFont="1" applyFill="1" applyBorder="1" applyAlignment="1">
      <alignment horizontal="center"/>
    </xf>
    <xf numFmtId="0" fontId="3" fillId="27" borderId="52" xfId="0" applyFont="1" applyFill="1" applyBorder="1" applyAlignment="1">
      <alignment horizontal="center"/>
    </xf>
    <xf numFmtId="0" fontId="4" fillId="8" borderId="29" xfId="0" applyFont="1" applyFill="1" applyBorder="1"/>
    <xf numFmtId="2" fontId="1" fillId="8" borderId="29" xfId="0" applyNumberFormat="1" applyFont="1" applyFill="1" applyBorder="1" applyAlignment="1">
      <alignment horizontal="center"/>
    </xf>
    <xf numFmtId="2" fontId="1" fillId="14" borderId="52" xfId="0" applyNumberFormat="1" applyFont="1" applyFill="1" applyBorder="1" applyAlignment="1">
      <alignment horizontal="center"/>
    </xf>
    <xf numFmtId="0" fontId="1" fillId="0" borderId="56" xfId="0" applyFont="1" applyBorder="1"/>
    <xf numFmtId="0" fontId="3" fillId="14" borderId="57" xfId="0" applyFont="1" applyFill="1" applyBorder="1"/>
    <xf numFmtId="0" fontId="10" fillId="14" borderId="0" xfId="0" applyFont="1" applyFill="1"/>
    <xf numFmtId="0" fontId="4" fillId="0" borderId="52" xfId="0" applyFont="1" applyBorder="1"/>
    <xf numFmtId="2" fontId="1" fillId="8" borderId="52" xfId="0" applyNumberFormat="1" applyFont="1" applyFill="1" applyBorder="1" applyAlignment="1">
      <alignment horizontal="center"/>
    </xf>
    <xf numFmtId="2" fontId="1" fillId="27" borderId="52" xfId="0" applyNumberFormat="1" applyFont="1" applyFill="1" applyBorder="1" applyAlignment="1">
      <alignment horizontal="center"/>
    </xf>
    <xf numFmtId="0" fontId="1" fillId="0" borderId="0" xfId="0" applyFont="1"/>
    <xf numFmtId="0" fontId="3" fillId="8" borderId="58" xfId="0" applyFont="1" applyFill="1" applyBorder="1"/>
    <xf numFmtId="0" fontId="3" fillId="8" borderId="30" xfId="0" applyFont="1" applyFill="1" applyBorder="1"/>
    <xf numFmtId="0" fontId="3" fillId="8" borderId="59" xfId="0" applyFont="1" applyFill="1" applyBorder="1"/>
    <xf numFmtId="0" fontId="3" fillId="27" borderId="2" xfId="0" applyFont="1" applyFill="1" applyBorder="1"/>
    <xf numFmtId="0" fontId="3" fillId="27" borderId="3" xfId="0" applyFont="1" applyFill="1" applyBorder="1"/>
    <xf numFmtId="10" fontId="3" fillId="27" borderId="1" xfId="0" applyNumberFormat="1" applyFont="1" applyFill="1" applyBorder="1" applyAlignment="1">
      <alignment horizontal="center"/>
    </xf>
    <xf numFmtId="0" fontId="1" fillId="27" borderId="7" xfId="0" applyFont="1" applyFill="1" applyBorder="1" applyAlignment="1">
      <alignment horizontal="center"/>
    </xf>
    <xf numFmtId="0" fontId="3" fillId="27" borderId="7" xfId="0" applyFont="1" applyFill="1" applyBorder="1" applyAlignment="1">
      <alignment horizontal="center"/>
    </xf>
    <xf numFmtId="0" fontId="1" fillId="27" borderId="29" xfId="0" applyFont="1" applyFill="1" applyBorder="1" applyAlignment="1">
      <alignment horizontal="center"/>
    </xf>
    <xf numFmtId="2" fontId="1" fillId="8" borderId="30" xfId="0" applyNumberFormat="1" applyFont="1" applyFill="1" applyBorder="1" applyAlignment="1">
      <alignment horizontal="center"/>
    </xf>
    <xf numFmtId="0" fontId="3" fillId="20" borderId="52" xfId="0" applyFont="1" applyFill="1" applyBorder="1"/>
    <xf numFmtId="0" fontId="10" fillId="20" borderId="52" xfId="0" applyFont="1" applyFill="1" applyBorder="1"/>
    <xf numFmtId="0" fontId="3" fillId="20" borderId="0" xfId="0" applyFont="1" applyFill="1"/>
    <xf numFmtId="0" fontId="3" fillId="20" borderId="57" xfId="0" applyFont="1" applyFill="1" applyBorder="1"/>
    <xf numFmtId="0" fontId="3" fillId="20" borderId="29" xfId="0" applyFont="1" applyFill="1" applyBorder="1" applyAlignment="1">
      <alignment horizontal="center"/>
    </xf>
    <xf numFmtId="0" fontId="3" fillId="20" borderId="56" xfId="0" applyFont="1" applyFill="1" applyBorder="1" applyAlignment="1">
      <alignment horizontal="center"/>
    </xf>
    <xf numFmtId="0" fontId="4" fillId="0" borderId="29" xfId="0" applyFont="1" applyBorder="1"/>
    <xf numFmtId="0" fontId="12" fillId="20" borderId="52" xfId="0" applyFont="1" applyFill="1" applyBorder="1"/>
    <xf numFmtId="0" fontId="3" fillId="20" borderId="52" xfId="0" applyFont="1" applyFill="1" applyBorder="1" applyAlignment="1">
      <alignment horizontal="center"/>
    </xf>
    <xf numFmtId="2" fontId="1" fillId="20" borderId="52" xfId="0" applyNumberFormat="1" applyFont="1" applyFill="1" applyBorder="1" applyAlignment="1">
      <alignment horizontal="center"/>
    </xf>
    <xf numFmtId="0" fontId="3" fillId="20" borderId="54" xfId="0" applyFont="1" applyFill="1" applyBorder="1"/>
    <xf numFmtId="0" fontId="3" fillId="20" borderId="55" xfId="0" applyFont="1" applyFill="1" applyBorder="1"/>
    <xf numFmtId="10" fontId="3" fillId="20" borderId="1" xfId="0" applyNumberFormat="1" applyFont="1" applyFill="1" applyBorder="1" applyAlignment="1">
      <alignment horizontal="center"/>
    </xf>
    <xf numFmtId="0" fontId="1" fillId="20" borderId="29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1" fillId="20" borderId="7" xfId="0" applyFont="1" applyFill="1" applyBorder="1" applyAlignment="1">
      <alignment horizontal="center"/>
    </xf>
    <xf numFmtId="0" fontId="3" fillId="8" borderId="53" xfId="0" applyFont="1" applyFill="1" applyBorder="1"/>
    <xf numFmtId="0" fontId="3" fillId="27" borderId="29" xfId="0" applyFont="1" applyFill="1" applyBorder="1"/>
    <xf numFmtId="0" fontId="3" fillId="8" borderId="54" xfId="0" applyFont="1" applyFill="1" applyBorder="1"/>
    <xf numFmtId="0" fontId="10" fillId="27" borderId="29" xfId="0" applyFont="1" applyFill="1" applyBorder="1"/>
    <xf numFmtId="0" fontId="3" fillId="27" borderId="54" xfId="0" applyFont="1" applyFill="1" applyBorder="1"/>
    <xf numFmtId="0" fontId="3" fillId="8" borderId="29" xfId="0" applyFont="1" applyFill="1" applyBorder="1"/>
    <xf numFmtId="0" fontId="3" fillId="27" borderId="55" xfId="0" applyFont="1" applyFill="1" applyBorder="1"/>
    <xf numFmtId="10" fontId="3" fillId="8" borderId="53" xfId="0" applyNumberFormat="1" applyFont="1" applyFill="1" applyBorder="1" applyAlignment="1">
      <alignment horizontal="center"/>
    </xf>
    <xf numFmtId="0" fontId="3" fillId="27" borderId="0" xfId="0" applyFont="1" applyFill="1" applyAlignment="1">
      <alignment horizontal="center"/>
    </xf>
    <xf numFmtId="2" fontId="1" fillId="8" borderId="57" xfId="0" applyNumberFormat="1" applyFont="1" applyFill="1" applyBorder="1" applyAlignment="1">
      <alignment horizontal="center"/>
    </xf>
    <xf numFmtId="0" fontId="3" fillId="26" borderId="53" xfId="0" applyFont="1" applyFill="1" applyBorder="1"/>
    <xf numFmtId="0" fontId="3" fillId="26" borderId="55" xfId="0" applyFont="1" applyFill="1" applyBorder="1"/>
    <xf numFmtId="0" fontId="3" fillId="27" borderId="56" xfId="0" applyFont="1" applyFill="1" applyBorder="1" applyAlignment="1">
      <alignment horizontal="center"/>
    </xf>
    <xf numFmtId="0" fontId="7" fillId="8" borderId="57" xfId="0" applyFont="1" applyFill="1" applyBorder="1" applyAlignment="1">
      <alignment horizontal="left"/>
    </xf>
    <xf numFmtId="0" fontId="3" fillId="26" borderId="58" xfId="0" applyFont="1" applyFill="1" applyBorder="1"/>
    <xf numFmtId="0" fontId="3" fillId="26" borderId="45" xfId="0" applyFont="1" applyFill="1" applyBorder="1"/>
    <xf numFmtId="0" fontId="3" fillId="27" borderId="30" xfId="0" applyFont="1" applyFill="1" applyBorder="1" applyAlignment="1">
      <alignment horizontal="center"/>
    </xf>
    <xf numFmtId="0" fontId="3" fillId="0" borderId="53" xfId="0" applyFont="1" applyBorder="1"/>
    <xf numFmtId="164" fontId="3" fillId="0" borderId="55" xfId="0" applyNumberFormat="1" applyFont="1" applyBorder="1"/>
    <xf numFmtId="0" fontId="1" fillId="27" borderId="52" xfId="0" applyFont="1" applyFill="1" applyBorder="1" applyAlignment="1">
      <alignment horizontal="center"/>
    </xf>
    <xf numFmtId="0" fontId="3" fillId="0" borderId="58" xfId="0" applyFont="1" applyBorder="1"/>
    <xf numFmtId="0" fontId="8" fillId="8" borderId="57" xfId="0" applyFont="1" applyFill="1" applyBorder="1" applyAlignment="1">
      <alignment horizontal="left"/>
    </xf>
    <xf numFmtId="0" fontId="3" fillId="20" borderId="30" xfId="0" applyFont="1" applyFill="1" applyBorder="1" applyAlignment="1">
      <alignment horizontal="center"/>
    </xf>
    <xf numFmtId="0" fontId="3" fillId="20" borderId="2" xfId="0" applyFont="1" applyFill="1" applyBorder="1"/>
    <xf numFmtId="0" fontId="3" fillId="20" borderId="3" xfId="0" applyFont="1" applyFill="1" applyBorder="1"/>
    <xf numFmtId="0" fontId="1" fillId="20" borderId="30" xfId="0" applyFont="1" applyFill="1" applyBorder="1" applyAlignment="1">
      <alignment horizontal="center"/>
    </xf>
    <xf numFmtId="0" fontId="1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9" fillId="0" borderId="1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2" fillId="0" borderId="52" xfId="0" applyFont="1" applyBorder="1"/>
    <xf numFmtId="0" fontId="1" fillId="3" borderId="53" xfId="0" applyFont="1" applyFill="1" applyBorder="1" applyAlignment="1">
      <alignment horizontal="center"/>
    </xf>
    <xf numFmtId="0" fontId="2" fillId="0" borderId="54" xfId="0" applyFont="1" applyBorder="1"/>
    <xf numFmtId="0" fontId="2" fillId="0" borderId="55" xfId="0" applyFont="1" applyBorder="1"/>
    <xf numFmtId="0" fontId="9" fillId="17" borderId="1" xfId="0" applyFont="1" applyFill="1" applyBorder="1" applyAlignment="1">
      <alignment horizontal="center"/>
    </xf>
    <xf numFmtId="0" fontId="9" fillId="20" borderId="0" xfId="0" applyFont="1" applyFill="1" applyAlignment="1">
      <alignment horizontal="center"/>
    </xf>
    <xf numFmtId="0" fontId="1" fillId="20" borderId="56" xfId="0" applyFont="1" applyFill="1" applyBorder="1" applyAlignment="1">
      <alignment horizontal="center" vertical="center"/>
    </xf>
    <xf numFmtId="0" fontId="2" fillId="0" borderId="56" xfId="0" applyFont="1" applyBorder="1"/>
    <xf numFmtId="0" fontId="2" fillId="0" borderId="58" xfId="0" applyFont="1" applyBorder="1"/>
    <xf numFmtId="0" fontId="1" fillId="6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 vertical="center"/>
    </xf>
    <xf numFmtId="0" fontId="1" fillId="27" borderId="53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2" fillId="22" borderId="45" xfId="0" applyFont="1" applyFill="1" applyBorder="1" applyAlignment="1">
      <alignment horizontal="center"/>
    </xf>
    <xf numFmtId="0" fontId="12" fillId="11" borderId="45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10" fillId="8" borderId="7" xfId="0" applyNumberFormat="1" applyFont="1" applyFill="1" applyBorder="1"/>
    <xf numFmtId="164" fontId="10" fillId="7" borderId="7" xfId="0" applyNumberFormat="1" applyFont="1" applyFill="1" applyBorder="1"/>
    <xf numFmtId="164" fontId="10" fillId="5" borderId="7" xfId="0" applyNumberFormat="1" applyFont="1" applyFill="1" applyBorder="1"/>
    <xf numFmtId="164" fontId="10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30" customWidth="1"/>
    <col min="3" max="3" width="10.88671875" customWidth="1"/>
    <col min="4" max="4" width="10.6640625" customWidth="1"/>
    <col min="5" max="5" width="8.33203125" customWidth="1"/>
    <col min="6" max="6" width="20" customWidth="1"/>
    <col min="7" max="9" width="10.6640625" customWidth="1"/>
    <col min="10" max="10" width="13.109375" customWidth="1"/>
    <col min="11" max="26" width="10.6640625" customWidth="1"/>
  </cols>
  <sheetData>
    <row r="1" spans="2:12" ht="14.25" customHeight="1">
      <c r="F1" s="299" t="s">
        <v>0</v>
      </c>
      <c r="G1" s="300"/>
      <c r="H1" s="301"/>
      <c r="J1" s="302" t="s">
        <v>1</v>
      </c>
      <c r="K1" s="303"/>
      <c r="L1" s="304"/>
    </row>
    <row r="2" spans="2:12" ht="14.25" customHeight="1">
      <c r="B2" s="1" t="s">
        <v>2</v>
      </c>
      <c r="C2" s="1" t="s">
        <v>3</v>
      </c>
      <c r="D2" s="1" t="s">
        <v>4</v>
      </c>
      <c r="F2" s="1" t="s">
        <v>2</v>
      </c>
      <c r="G2" s="1" t="s">
        <v>5</v>
      </c>
      <c r="H2" s="1" t="s">
        <v>4</v>
      </c>
      <c r="J2" s="2" t="s">
        <v>6</v>
      </c>
      <c r="K2" s="3"/>
      <c r="L2" s="4"/>
    </row>
    <row r="3" spans="2:12" ht="14.25" customHeight="1">
      <c r="B3" s="5" t="s">
        <v>7</v>
      </c>
      <c r="C3" s="5">
        <v>2400</v>
      </c>
      <c r="D3" s="5" t="s">
        <v>8</v>
      </c>
      <c r="F3" s="6" t="s">
        <v>9</v>
      </c>
      <c r="G3" s="7">
        <v>0</v>
      </c>
      <c r="H3" s="8" t="s">
        <v>8</v>
      </c>
      <c r="J3" s="9" t="s">
        <v>9</v>
      </c>
      <c r="K3" s="10">
        <f>G6</f>
        <v>2400</v>
      </c>
      <c r="L3" s="11" t="s">
        <v>8</v>
      </c>
    </row>
    <row r="4" spans="2:12" ht="14.25" customHeight="1">
      <c r="F4" s="12"/>
      <c r="G4" s="13"/>
      <c r="H4" s="14"/>
      <c r="J4" s="15" t="s">
        <v>10</v>
      </c>
      <c r="K4" s="3">
        <f>SUM(K2:K3)</f>
        <v>2400</v>
      </c>
      <c r="L4" s="4" t="s">
        <v>8</v>
      </c>
    </row>
    <row r="5" spans="2:12" ht="14.25" customHeight="1">
      <c r="F5" s="2" t="s">
        <v>11</v>
      </c>
      <c r="G5" s="3"/>
      <c r="H5" s="4"/>
      <c r="J5" s="9"/>
      <c r="K5" s="10"/>
      <c r="L5" s="11"/>
    </row>
    <row r="6" spans="2:12" ht="14.25" customHeight="1">
      <c r="F6" s="9" t="s">
        <v>12</v>
      </c>
      <c r="G6" s="10">
        <f>C3</f>
        <v>2400</v>
      </c>
      <c r="H6" s="11" t="s">
        <v>8</v>
      </c>
      <c r="J6" s="2" t="s">
        <v>13</v>
      </c>
      <c r="K6" s="3"/>
      <c r="L6" s="4"/>
    </row>
    <row r="7" spans="2:12" ht="14.25" customHeight="1">
      <c r="F7" s="16" t="s">
        <v>14</v>
      </c>
      <c r="G7" s="17">
        <f>SUM(G3:G6)</f>
        <v>2400</v>
      </c>
      <c r="H7" s="18" t="s">
        <v>8</v>
      </c>
      <c r="J7" s="9" t="s">
        <v>15</v>
      </c>
      <c r="K7" s="10">
        <v>2400</v>
      </c>
      <c r="L7" s="11" t="s">
        <v>8</v>
      </c>
    </row>
    <row r="8" spans="2:12" ht="14.25" customHeight="1">
      <c r="J8" s="16" t="s">
        <v>16</v>
      </c>
      <c r="K8" s="17">
        <f>SUM(K7)</f>
        <v>2400</v>
      </c>
      <c r="L8" s="18" t="s">
        <v>8</v>
      </c>
    </row>
    <row r="9" spans="2:12" ht="14.25" customHeight="1"/>
    <row r="10" spans="2:12" ht="14.25" customHeight="1"/>
    <row r="11" spans="2:12" ht="14.25" customHeight="1"/>
    <row r="12" spans="2:12" ht="14.25" customHeight="1"/>
    <row r="13" spans="2:12" ht="14.25" customHeight="1"/>
    <row r="14" spans="2:12" ht="14.25" customHeight="1"/>
    <row r="15" spans="2:12" ht="14.25" customHeight="1"/>
    <row r="16" spans="2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1:H1"/>
    <mergeCell ref="J1:L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05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37" customWidth="1"/>
    <col min="3" max="3" width="11.33203125" customWidth="1"/>
    <col min="4" max="4" width="10.6640625" customWidth="1"/>
    <col min="5" max="5" width="53.44140625" customWidth="1"/>
    <col min="6" max="7" width="10.6640625" customWidth="1"/>
    <col min="8" max="8" width="29.33203125" customWidth="1"/>
    <col min="9" max="9" width="13.5546875" customWidth="1"/>
    <col min="10" max="10" width="13.88671875" customWidth="1"/>
    <col min="11" max="11" width="13.5546875" customWidth="1"/>
    <col min="12" max="12" width="21.5546875" customWidth="1"/>
    <col min="13" max="13" width="10.6640625" customWidth="1"/>
    <col min="14" max="14" width="29.88671875" customWidth="1"/>
    <col min="15" max="19" width="10.6640625" customWidth="1"/>
    <col min="20" max="20" width="21.44140625" customWidth="1"/>
    <col min="21" max="24" width="10.6640625" customWidth="1"/>
    <col min="25" max="25" width="29.6640625" customWidth="1"/>
    <col min="26" max="26" width="15.6640625" customWidth="1"/>
    <col min="27" max="27" width="12.6640625" customWidth="1"/>
  </cols>
  <sheetData>
    <row r="1" spans="2:27" ht="14.25" customHeight="1">
      <c r="B1" s="19" t="s">
        <v>17</v>
      </c>
      <c r="C1" s="19">
        <v>0</v>
      </c>
      <c r="D1" s="19" t="s">
        <v>18</v>
      </c>
      <c r="E1" s="20"/>
      <c r="H1" s="315" t="s">
        <v>19</v>
      </c>
      <c r="I1" s="300"/>
      <c r="J1" s="300"/>
      <c r="K1" s="301"/>
      <c r="L1" s="21"/>
      <c r="N1" s="316" t="s">
        <v>20</v>
      </c>
      <c r="O1" s="300"/>
      <c r="P1" s="300"/>
      <c r="Q1" s="301"/>
      <c r="T1" s="305" t="s">
        <v>21</v>
      </c>
      <c r="U1" s="306"/>
      <c r="V1" s="306"/>
      <c r="W1" s="306"/>
    </row>
    <row r="2" spans="2:27" ht="14.25" customHeight="1">
      <c r="B2" s="22" t="s">
        <v>7</v>
      </c>
      <c r="C2" s="23">
        <v>2400</v>
      </c>
      <c r="D2" s="23" t="s">
        <v>8</v>
      </c>
      <c r="E2" s="24"/>
      <c r="H2" s="5"/>
      <c r="I2" s="5" t="s">
        <v>22</v>
      </c>
      <c r="J2" s="5" t="s">
        <v>23</v>
      </c>
      <c r="K2" s="5" t="s">
        <v>24</v>
      </c>
      <c r="L2" s="5"/>
      <c r="N2" s="21"/>
      <c r="O2" s="21" t="s">
        <v>22</v>
      </c>
      <c r="P2" s="21" t="s">
        <v>23</v>
      </c>
      <c r="Q2" s="21" t="s">
        <v>24</v>
      </c>
      <c r="U2" s="25" t="s">
        <v>25</v>
      </c>
      <c r="V2" s="25" t="s">
        <v>23</v>
      </c>
      <c r="W2" s="25" t="s">
        <v>24</v>
      </c>
      <c r="Y2" s="307" t="s">
        <v>26</v>
      </c>
      <c r="Z2" s="300"/>
      <c r="AA2" s="301"/>
    </row>
    <row r="3" spans="2:27" ht="14.25" customHeight="1">
      <c r="H3" s="26" t="s">
        <v>27</v>
      </c>
      <c r="I3" s="27"/>
      <c r="J3" s="27"/>
      <c r="K3" s="28"/>
      <c r="L3" s="5"/>
      <c r="N3" s="29" t="s">
        <v>28</v>
      </c>
      <c r="O3" s="30">
        <f>2400</f>
        <v>2400</v>
      </c>
      <c r="P3" s="30">
        <v>2400</v>
      </c>
      <c r="Q3" s="30">
        <f t="shared" ref="Q3:Q19" si="0">P3-O3</f>
        <v>0</v>
      </c>
      <c r="T3" s="31" t="s">
        <v>6</v>
      </c>
      <c r="U3" s="32"/>
      <c r="V3" s="32"/>
      <c r="W3" s="33"/>
      <c r="Y3" s="34" t="s">
        <v>29</v>
      </c>
      <c r="Z3" s="35"/>
      <c r="AA3" s="35"/>
    </row>
    <row r="4" spans="2:27" ht="14.25" customHeight="1">
      <c r="B4" s="308" t="s">
        <v>30</v>
      </c>
      <c r="C4" s="300"/>
      <c r="D4" s="300"/>
      <c r="E4" s="301"/>
      <c r="H4" s="5" t="s">
        <v>31</v>
      </c>
      <c r="I4" s="36">
        <f>6*C5</f>
        <v>552</v>
      </c>
      <c r="J4" s="36">
        <v>552</v>
      </c>
      <c r="K4" s="36">
        <f t="shared" ref="K4:K16" si="1">J4-I4</f>
        <v>0</v>
      </c>
      <c r="L4" s="5" t="s">
        <v>32</v>
      </c>
      <c r="N4" s="37"/>
      <c r="O4" s="38"/>
      <c r="P4" s="38"/>
      <c r="Q4" s="39">
        <f t="shared" si="0"/>
        <v>0</v>
      </c>
      <c r="T4" s="40" t="s">
        <v>33</v>
      </c>
      <c r="U4" s="41">
        <f>C29-I14</f>
        <v>1440</v>
      </c>
      <c r="V4" s="41">
        <f>C29-J14</f>
        <v>1440</v>
      </c>
      <c r="W4" s="42">
        <f t="shared" ref="W4:W8" si="2">V4-U4</f>
        <v>0</v>
      </c>
      <c r="Y4" s="35" t="s">
        <v>34</v>
      </c>
      <c r="Z4" s="43">
        <f>J4+J5+J6+J10+J14-J19</f>
        <v>2381.4</v>
      </c>
      <c r="AA4" s="35"/>
    </row>
    <row r="5" spans="2:27" ht="14.25" customHeight="1">
      <c r="B5" s="44" t="s">
        <v>35</v>
      </c>
      <c r="C5" s="45">
        <v>92</v>
      </c>
      <c r="D5" s="45" t="s">
        <v>18</v>
      </c>
      <c r="E5" s="45"/>
      <c r="H5" s="27" t="s">
        <v>36</v>
      </c>
      <c r="I5" s="46">
        <f>C36</f>
        <v>1480</v>
      </c>
      <c r="J5" s="46">
        <v>1480</v>
      </c>
      <c r="K5" s="46">
        <f t="shared" si="1"/>
        <v>0</v>
      </c>
      <c r="L5" s="5" t="s">
        <v>37</v>
      </c>
      <c r="N5" s="47" t="s">
        <v>38</v>
      </c>
      <c r="O5" s="30">
        <v>4392.5</v>
      </c>
      <c r="P5" s="30">
        <v>4163.8999999999996</v>
      </c>
      <c r="Q5" s="30">
        <f t="shared" si="0"/>
        <v>-228.60000000000036</v>
      </c>
      <c r="T5" s="48" t="s">
        <v>39</v>
      </c>
      <c r="U5" s="49">
        <v>0</v>
      </c>
      <c r="V5" s="49">
        <f>J19</f>
        <v>125.6</v>
      </c>
      <c r="W5" s="50">
        <f t="shared" si="2"/>
        <v>125.6</v>
      </c>
      <c r="Y5" s="35" t="s">
        <v>40</v>
      </c>
      <c r="Z5" s="35">
        <f>C5-I30</f>
        <v>87.4</v>
      </c>
      <c r="AA5" s="35"/>
    </row>
    <row r="6" spans="2:27" ht="14.25" customHeight="1">
      <c r="B6" s="51" t="s">
        <v>41</v>
      </c>
      <c r="C6" s="52">
        <f>C7+C8</f>
        <v>3.6</v>
      </c>
      <c r="D6" s="52" t="s">
        <v>18</v>
      </c>
      <c r="E6" s="52"/>
      <c r="H6" s="5" t="s">
        <v>42</v>
      </c>
      <c r="I6" s="36">
        <v>0</v>
      </c>
      <c r="J6" s="36">
        <v>0</v>
      </c>
      <c r="K6" s="53">
        <f t="shared" si="1"/>
        <v>0</v>
      </c>
      <c r="L6" s="5"/>
      <c r="N6" s="54" t="s">
        <v>43</v>
      </c>
      <c r="O6" s="38">
        <v>0</v>
      </c>
      <c r="P6" s="38">
        <v>0</v>
      </c>
      <c r="Q6" s="39">
        <f t="shared" si="0"/>
        <v>0</v>
      </c>
      <c r="T6" s="40" t="s">
        <v>44</v>
      </c>
      <c r="U6" s="41">
        <f t="shared" ref="U6:V6" si="3">1/8*I20</f>
        <v>627.5</v>
      </c>
      <c r="V6" s="41">
        <f t="shared" si="3"/>
        <v>594.83749999999998</v>
      </c>
      <c r="W6" s="42">
        <f t="shared" si="2"/>
        <v>-32.662500000000023</v>
      </c>
      <c r="Y6" s="35" t="s">
        <v>45</v>
      </c>
      <c r="Z6" s="35">
        <f>Z4/Z5</f>
        <v>27.247139588100687</v>
      </c>
      <c r="AA6" s="35"/>
    </row>
    <row r="7" spans="2:27" ht="14.25" customHeight="1">
      <c r="B7" s="55" t="s">
        <v>46</v>
      </c>
      <c r="C7" s="55">
        <v>2.6</v>
      </c>
      <c r="D7" s="55" t="s">
        <v>18</v>
      </c>
      <c r="E7" s="56"/>
      <c r="H7" s="27" t="s">
        <v>47</v>
      </c>
      <c r="I7" s="46">
        <f>(C37+C38)*C40+C39*0.01*C19</f>
        <v>609.1</v>
      </c>
      <c r="J7" s="46">
        <v>594.70000000000005</v>
      </c>
      <c r="K7" s="46">
        <f t="shared" si="1"/>
        <v>-14.399999999999977</v>
      </c>
      <c r="L7" s="5" t="s">
        <v>48</v>
      </c>
      <c r="N7" s="47" t="s">
        <v>49</v>
      </c>
      <c r="O7" s="30">
        <v>0</v>
      </c>
      <c r="P7" s="30">
        <v>0</v>
      </c>
      <c r="Q7" s="30">
        <f t="shared" si="0"/>
        <v>0</v>
      </c>
      <c r="T7" s="48" t="s">
        <v>50</v>
      </c>
      <c r="U7" s="49">
        <f t="shared" ref="U7:V7" si="4">O19</f>
        <v>786.69999999999891</v>
      </c>
      <c r="V7" s="49">
        <f t="shared" si="4"/>
        <v>617.5</v>
      </c>
      <c r="W7" s="50">
        <f t="shared" si="2"/>
        <v>-169.19999999999891</v>
      </c>
      <c r="Y7" s="35" t="s">
        <v>40</v>
      </c>
      <c r="Z7" s="57">
        <v>48.5</v>
      </c>
      <c r="AA7" s="58">
        <v>38.9</v>
      </c>
    </row>
    <row r="8" spans="2:27" ht="14.25" customHeight="1">
      <c r="B8" s="59" t="s">
        <v>51</v>
      </c>
      <c r="C8" s="59">
        <v>1</v>
      </c>
      <c r="D8" s="59" t="s">
        <v>18</v>
      </c>
      <c r="E8" s="56"/>
      <c r="H8" s="5" t="s">
        <v>52</v>
      </c>
      <c r="I8" s="36">
        <f>0.05*C19</f>
        <v>251</v>
      </c>
      <c r="J8" s="36">
        <v>237.9</v>
      </c>
      <c r="K8" s="53">
        <f t="shared" si="1"/>
        <v>-13.099999999999994</v>
      </c>
      <c r="L8" s="5" t="s">
        <v>53</v>
      </c>
      <c r="N8" s="54" t="s">
        <v>54</v>
      </c>
      <c r="O8" s="38">
        <v>0</v>
      </c>
      <c r="P8" s="38">
        <v>0</v>
      </c>
      <c r="Q8" s="39">
        <f t="shared" si="0"/>
        <v>0</v>
      </c>
      <c r="T8" s="60" t="s">
        <v>55</v>
      </c>
      <c r="U8" s="41">
        <f t="shared" ref="U8:V8" si="5">SUM(U4:U7)</f>
        <v>2854.1999999999989</v>
      </c>
      <c r="V8" s="41">
        <f t="shared" si="5"/>
        <v>2777.9375</v>
      </c>
      <c r="W8" s="42">
        <f t="shared" si="2"/>
        <v>-76.262499999998909</v>
      </c>
      <c r="Y8" s="35" t="s">
        <v>56</v>
      </c>
      <c r="Z8" s="57">
        <f>Z6*Z7</f>
        <v>1321.4862700228832</v>
      </c>
      <c r="AA8" s="58">
        <f>Z6*AA7</f>
        <v>1059.9137299771166</v>
      </c>
    </row>
    <row r="9" spans="2:27" ht="14.25" customHeight="1">
      <c r="B9" s="61" t="s">
        <v>57</v>
      </c>
      <c r="C9" s="45"/>
      <c r="D9" s="45"/>
      <c r="E9" s="45"/>
      <c r="H9" s="27" t="s">
        <v>58</v>
      </c>
      <c r="I9" s="46">
        <v>0</v>
      </c>
      <c r="J9" s="62">
        <v>6.3</v>
      </c>
      <c r="K9" s="46">
        <f t="shared" si="1"/>
        <v>6.3</v>
      </c>
      <c r="L9" s="63">
        <v>0.1</v>
      </c>
      <c r="N9" s="47" t="s">
        <v>59</v>
      </c>
      <c r="O9" s="30">
        <v>0</v>
      </c>
      <c r="P9" s="30">
        <v>0</v>
      </c>
      <c r="Q9" s="30">
        <f t="shared" si="0"/>
        <v>0</v>
      </c>
      <c r="T9" s="48"/>
      <c r="U9" s="49"/>
      <c r="V9" s="49"/>
      <c r="W9" s="64"/>
      <c r="Y9" s="35" t="s">
        <v>60</v>
      </c>
      <c r="Z9" s="57">
        <f>C13</f>
        <v>400</v>
      </c>
      <c r="AA9" s="58">
        <f>C14</f>
        <v>320</v>
      </c>
    </row>
    <row r="10" spans="2:27" ht="14.25" customHeight="1">
      <c r="B10" s="55" t="s">
        <v>46</v>
      </c>
      <c r="C10" s="55">
        <v>50</v>
      </c>
      <c r="D10" s="55" t="s">
        <v>8</v>
      </c>
      <c r="E10" s="309" t="s">
        <v>61</v>
      </c>
      <c r="H10" s="5" t="s">
        <v>62</v>
      </c>
      <c r="I10" s="36">
        <f>30*C25+C46</f>
        <v>315</v>
      </c>
      <c r="J10" s="36">
        <v>315</v>
      </c>
      <c r="K10" s="53">
        <f t="shared" si="1"/>
        <v>0</v>
      </c>
      <c r="L10" s="5" t="s">
        <v>63</v>
      </c>
      <c r="N10" s="65" t="s">
        <v>64</v>
      </c>
      <c r="O10" s="66">
        <f t="shared" ref="O10:P10" si="6">SUM(O5:O9)</f>
        <v>4392.5</v>
      </c>
      <c r="P10" s="66">
        <f t="shared" si="6"/>
        <v>4163.8999999999996</v>
      </c>
      <c r="Q10" s="66">
        <f t="shared" si="0"/>
        <v>-228.60000000000036</v>
      </c>
      <c r="T10" s="67" t="s">
        <v>13</v>
      </c>
      <c r="U10" s="41"/>
      <c r="V10" s="41"/>
      <c r="W10" s="42">
        <f t="shared" ref="W10:W18" si="7">V10-U10</f>
        <v>0</v>
      </c>
      <c r="Y10" s="35" t="s">
        <v>65</v>
      </c>
      <c r="Z10" s="57">
        <f>C40*C37+C39%*Z13</f>
        <v>373.875</v>
      </c>
      <c r="AA10" s="58">
        <f>C40*C38+C39%*AA13</f>
        <v>220.87</v>
      </c>
    </row>
    <row r="11" spans="2:27" ht="14.25" customHeight="1">
      <c r="B11" s="59" t="s">
        <v>51</v>
      </c>
      <c r="C11" s="59">
        <v>60</v>
      </c>
      <c r="D11" s="59" t="s">
        <v>8</v>
      </c>
      <c r="E11" s="310"/>
      <c r="H11" s="27" t="s">
        <v>66</v>
      </c>
      <c r="I11" s="46">
        <f>C45</f>
        <v>100</v>
      </c>
      <c r="J11" s="46">
        <v>100</v>
      </c>
      <c r="K11" s="46">
        <f t="shared" si="1"/>
        <v>0</v>
      </c>
      <c r="L11" s="5"/>
      <c r="N11" s="68"/>
      <c r="O11" s="30"/>
      <c r="P11" s="30"/>
      <c r="Q11" s="69">
        <f t="shared" si="0"/>
        <v>0</v>
      </c>
      <c r="T11" s="48" t="s">
        <v>67</v>
      </c>
      <c r="U11" s="49">
        <v>2400</v>
      </c>
      <c r="V11" s="49">
        <v>2400</v>
      </c>
      <c r="W11" s="64">
        <f t="shared" si="7"/>
        <v>0</v>
      </c>
      <c r="Y11" s="35" t="s">
        <v>68</v>
      </c>
      <c r="Z11" s="57">
        <f t="shared" ref="Z11:AA11" si="8">0.05*Z13</f>
        <v>121.25</v>
      </c>
      <c r="AA11" s="58">
        <f t="shared" si="8"/>
        <v>116.7</v>
      </c>
    </row>
    <row r="12" spans="2:27" ht="14.25" customHeight="1">
      <c r="B12" s="44" t="s">
        <v>69</v>
      </c>
      <c r="C12" s="45">
        <v>720</v>
      </c>
      <c r="D12" s="45" t="s">
        <v>8</v>
      </c>
      <c r="E12" s="45"/>
      <c r="H12" s="5" t="s">
        <v>70</v>
      </c>
      <c r="I12" s="36">
        <v>0</v>
      </c>
      <c r="J12" s="36">
        <v>0</v>
      </c>
      <c r="K12" s="53">
        <f t="shared" si="1"/>
        <v>0</v>
      </c>
      <c r="L12" s="5" t="s">
        <v>71</v>
      </c>
      <c r="N12" s="54" t="s">
        <v>72</v>
      </c>
      <c r="O12" s="38">
        <f>I16-I14-1/6*I4+0</f>
        <v>4224.7000000000007</v>
      </c>
      <c r="P12" s="38">
        <v>4203.5</v>
      </c>
      <c r="Q12" s="39">
        <f t="shared" si="0"/>
        <v>-21.200000000000728</v>
      </c>
      <c r="T12" s="40" t="s">
        <v>73</v>
      </c>
      <c r="U12" s="41">
        <f t="shared" ref="U12:V12" si="9">I29</f>
        <v>362.21810999999951</v>
      </c>
      <c r="V12" s="41">
        <f t="shared" si="9"/>
        <v>285.89999999999998</v>
      </c>
      <c r="W12" s="70">
        <f t="shared" si="7"/>
        <v>-76.318109999999535</v>
      </c>
      <c r="Y12" s="35" t="s">
        <v>74</v>
      </c>
      <c r="Z12" s="57">
        <f t="shared" ref="Z12:AA12" si="10">SUM(Z8:Z11)</f>
        <v>2216.6112700228832</v>
      </c>
      <c r="AA12" s="58">
        <f t="shared" si="10"/>
        <v>1717.4837299771168</v>
      </c>
    </row>
    <row r="13" spans="2:27" ht="14.25" customHeight="1">
      <c r="B13" s="55" t="s">
        <v>46</v>
      </c>
      <c r="C13" s="55">
        <v>400</v>
      </c>
      <c r="D13" s="55" t="s">
        <v>8</v>
      </c>
      <c r="E13" s="54"/>
      <c r="H13" s="27" t="s">
        <v>75</v>
      </c>
      <c r="I13" s="46">
        <f>C12</f>
        <v>720</v>
      </c>
      <c r="J13" s="46">
        <v>720</v>
      </c>
      <c r="K13" s="46">
        <f t="shared" si="1"/>
        <v>0</v>
      </c>
      <c r="L13" s="5"/>
      <c r="N13" s="47" t="s">
        <v>76</v>
      </c>
      <c r="O13" s="30">
        <f>C26*C25</f>
        <v>1600</v>
      </c>
      <c r="P13" s="30">
        <v>1600</v>
      </c>
      <c r="Q13" s="30">
        <f t="shared" si="0"/>
        <v>0</v>
      </c>
      <c r="T13" s="48" t="s">
        <v>77</v>
      </c>
      <c r="U13" s="49">
        <v>0</v>
      </c>
      <c r="V13" s="49">
        <v>0</v>
      </c>
      <c r="W13" s="64">
        <f t="shared" si="7"/>
        <v>0</v>
      </c>
      <c r="Y13" s="35" t="s">
        <v>78</v>
      </c>
      <c r="Z13" s="57">
        <f>50*Z7</f>
        <v>2425</v>
      </c>
      <c r="AA13" s="58">
        <f>60*AA7</f>
        <v>2334</v>
      </c>
    </row>
    <row r="14" spans="2:27" ht="14.25" customHeight="1">
      <c r="B14" s="59" t="s">
        <v>51</v>
      </c>
      <c r="C14" s="59">
        <v>320</v>
      </c>
      <c r="D14" s="59" t="s">
        <v>8</v>
      </c>
      <c r="E14" s="5"/>
      <c r="H14" s="5" t="s">
        <v>79</v>
      </c>
      <c r="I14" s="36">
        <f>0.1*C29</f>
        <v>160</v>
      </c>
      <c r="J14" s="36">
        <v>160</v>
      </c>
      <c r="K14" s="53">
        <f t="shared" si="1"/>
        <v>0</v>
      </c>
      <c r="L14" s="5" t="s">
        <v>80</v>
      </c>
      <c r="N14" s="54" t="s">
        <v>81</v>
      </c>
      <c r="O14" s="38">
        <v>0</v>
      </c>
      <c r="P14" s="38">
        <v>0</v>
      </c>
      <c r="Q14" s="39">
        <f t="shared" si="0"/>
        <v>0</v>
      </c>
      <c r="T14" s="67" t="s">
        <v>82</v>
      </c>
      <c r="U14" s="41">
        <f>SUM(U11:U13)</f>
        <v>2762.2181099999993</v>
      </c>
      <c r="V14" s="41">
        <v>2685.9</v>
      </c>
      <c r="W14" s="70">
        <f t="shared" si="7"/>
        <v>-76.318109999999251</v>
      </c>
      <c r="Y14" s="35" t="s">
        <v>83</v>
      </c>
      <c r="Z14" s="57">
        <f t="shared" ref="Z14:AA14" si="11">Z13-Z12</f>
        <v>208.38872997711678</v>
      </c>
      <c r="AA14" s="58">
        <f t="shared" si="11"/>
        <v>616.51627002288319</v>
      </c>
    </row>
    <row r="15" spans="2:27" ht="14.25" customHeight="1">
      <c r="B15" s="51" t="s">
        <v>84</v>
      </c>
      <c r="C15" s="71">
        <f>SUM(C16:C17)</f>
        <v>92</v>
      </c>
      <c r="D15" s="52"/>
      <c r="E15" s="45"/>
      <c r="H15" s="27" t="s">
        <v>85</v>
      </c>
      <c r="I15" s="46">
        <f>C35+C41+C44</f>
        <v>289.60000000000002</v>
      </c>
      <c r="J15" s="46">
        <v>289.60000000000002</v>
      </c>
      <c r="K15" s="46">
        <f t="shared" si="1"/>
        <v>0</v>
      </c>
      <c r="L15" s="5" t="s">
        <v>86</v>
      </c>
      <c r="N15" s="47" t="s">
        <v>87</v>
      </c>
      <c r="O15" s="30">
        <v>181.1</v>
      </c>
      <c r="P15" s="30">
        <v>142.9</v>
      </c>
      <c r="Q15" s="30">
        <f t="shared" si="0"/>
        <v>-38.199999999999989</v>
      </c>
      <c r="T15" s="48" t="s">
        <v>88</v>
      </c>
      <c r="U15" s="49">
        <v>0</v>
      </c>
      <c r="V15" s="49">
        <v>0</v>
      </c>
      <c r="W15" s="64">
        <f t="shared" si="7"/>
        <v>0</v>
      </c>
      <c r="Y15" s="72" t="s">
        <v>89</v>
      </c>
      <c r="Z15" s="72">
        <f t="shared" ref="Z15:AA15" si="12">Z14/Z7</f>
        <v>4.2966748448890062</v>
      </c>
      <c r="AA15" s="72">
        <f t="shared" si="12"/>
        <v>15.848747301359465</v>
      </c>
    </row>
    <row r="16" spans="2:27" ht="14.25" customHeight="1">
      <c r="B16" s="55" t="s">
        <v>46</v>
      </c>
      <c r="C16" s="73">
        <v>50</v>
      </c>
      <c r="D16" s="55" t="s">
        <v>18</v>
      </c>
      <c r="E16" s="45"/>
      <c r="H16" s="74" t="s">
        <v>90</v>
      </c>
      <c r="I16" s="36">
        <f>SUM(I4:I15)</f>
        <v>4476.7000000000007</v>
      </c>
      <c r="J16" s="36">
        <f>SUM(J3:J15)</f>
        <v>4455.5</v>
      </c>
      <c r="K16" s="53">
        <f t="shared" si="1"/>
        <v>-21.200000000000728</v>
      </c>
      <c r="L16" s="5"/>
      <c r="N16" s="54" t="s">
        <v>91</v>
      </c>
      <c r="O16" s="38">
        <v>0</v>
      </c>
      <c r="P16" s="38">
        <v>0</v>
      </c>
      <c r="Q16" s="39">
        <f t="shared" si="0"/>
        <v>0</v>
      </c>
      <c r="T16" s="40" t="s">
        <v>92</v>
      </c>
      <c r="U16" s="41">
        <f>1/6*I4</f>
        <v>92</v>
      </c>
      <c r="V16" s="41">
        <v>92</v>
      </c>
      <c r="W16" s="70">
        <f t="shared" si="7"/>
        <v>0</v>
      </c>
      <c r="Y16" s="35"/>
      <c r="Z16" s="75" t="s">
        <v>93</v>
      </c>
      <c r="AA16" s="58" t="s">
        <v>94</v>
      </c>
    </row>
    <row r="17" spans="2:27" ht="14.25" customHeight="1">
      <c r="B17" s="59" t="s">
        <v>51</v>
      </c>
      <c r="C17" s="76">
        <v>42</v>
      </c>
      <c r="D17" s="59" t="s">
        <v>18</v>
      </c>
      <c r="E17" s="45"/>
      <c r="H17" s="27"/>
      <c r="I17" s="46"/>
      <c r="J17" s="46"/>
      <c r="K17" s="46"/>
      <c r="L17" s="5"/>
      <c r="N17" s="65" t="s">
        <v>95</v>
      </c>
      <c r="O17" s="66">
        <f t="shared" ref="O17:P17" si="13">SUM(O12:O16)</f>
        <v>6005.8000000000011</v>
      </c>
      <c r="P17" s="66">
        <f t="shared" si="13"/>
        <v>5946.4</v>
      </c>
      <c r="Q17" s="66">
        <f t="shared" si="0"/>
        <v>-59.400000000001455</v>
      </c>
      <c r="T17" s="48" t="s">
        <v>96</v>
      </c>
      <c r="U17" s="49">
        <v>0</v>
      </c>
      <c r="V17" s="49">
        <v>0</v>
      </c>
      <c r="W17" s="64">
        <f t="shared" si="7"/>
        <v>0</v>
      </c>
      <c r="Y17" s="34" t="s">
        <v>97</v>
      </c>
      <c r="Z17" s="35"/>
      <c r="AA17" s="35"/>
    </row>
    <row r="18" spans="2:27" ht="14.25" customHeight="1">
      <c r="B18" s="51"/>
      <c r="C18" s="71"/>
      <c r="D18" s="52"/>
      <c r="E18" s="45"/>
      <c r="H18" s="74" t="s">
        <v>98</v>
      </c>
      <c r="I18" s="36"/>
      <c r="J18" s="36"/>
      <c r="K18" s="36"/>
      <c r="L18" s="5"/>
      <c r="N18" s="77"/>
      <c r="O18" s="38"/>
      <c r="P18" s="38"/>
      <c r="Q18" s="39">
        <f t="shared" si="0"/>
        <v>0</v>
      </c>
      <c r="T18" s="60" t="s">
        <v>99</v>
      </c>
      <c r="U18" s="41">
        <f t="shared" ref="U18:V18" si="14">SUM(U14:U17)</f>
        <v>2854.2181099999993</v>
      </c>
      <c r="V18" s="41">
        <f t="shared" si="14"/>
        <v>2777.9</v>
      </c>
      <c r="W18" s="70">
        <f t="shared" si="7"/>
        <v>-76.318109999999251</v>
      </c>
      <c r="Y18" s="35" t="s">
        <v>100</v>
      </c>
      <c r="Z18" s="43">
        <f>J21+J9+J12+J11++J15</f>
        <v>395.90000000000003</v>
      </c>
      <c r="AA18" s="35"/>
    </row>
    <row r="19" spans="2:27" ht="14.25" customHeight="1">
      <c r="B19" s="51" t="s">
        <v>101</v>
      </c>
      <c r="C19" s="71">
        <f>C20+C21</f>
        <v>5020</v>
      </c>
      <c r="D19" s="52" t="s">
        <v>8</v>
      </c>
      <c r="E19" s="45"/>
      <c r="H19" s="27" t="s">
        <v>102</v>
      </c>
      <c r="I19" s="46">
        <v>0</v>
      </c>
      <c r="J19" s="46">
        <v>125.6</v>
      </c>
      <c r="K19" s="46">
        <f t="shared" ref="K19:K21" si="15">J19-I19</f>
        <v>125.6</v>
      </c>
      <c r="L19" s="63"/>
      <c r="N19" s="65" t="s">
        <v>103</v>
      </c>
      <c r="O19" s="66">
        <f>O3+O10-O17</f>
        <v>786.69999999999891</v>
      </c>
      <c r="P19" s="66">
        <f>P3 + P10 - P17</f>
        <v>617.5</v>
      </c>
      <c r="Q19" s="66">
        <f t="shared" si="0"/>
        <v>-169.19999999999891</v>
      </c>
      <c r="Y19" s="35" t="s">
        <v>104</v>
      </c>
      <c r="Z19" s="78">
        <f>48.5/87.4*100</f>
        <v>55.491990846681915</v>
      </c>
      <c r="AA19" s="58">
        <f t="shared" ref="AA19:AA20" si="16">100-Z19</f>
        <v>44.508009153318085</v>
      </c>
    </row>
    <row r="20" spans="2:27" ht="14.25" customHeight="1">
      <c r="B20" s="55" t="s">
        <v>46</v>
      </c>
      <c r="C20" s="79">
        <f t="shared" ref="C20:C21" si="17">C16*C10</f>
        <v>2500</v>
      </c>
      <c r="D20" s="55" t="s">
        <v>8</v>
      </c>
      <c r="E20" s="27"/>
      <c r="H20" s="5" t="s">
        <v>105</v>
      </c>
      <c r="I20" s="53">
        <f>C19</f>
        <v>5020</v>
      </c>
      <c r="J20" s="36">
        <v>4758.7</v>
      </c>
      <c r="K20" s="36">
        <f t="shared" si="15"/>
        <v>-261.30000000000018</v>
      </c>
      <c r="L20" s="5" t="s">
        <v>106</v>
      </c>
      <c r="Y20" s="35" t="s">
        <v>107</v>
      </c>
      <c r="Z20" s="78">
        <f>100*(Z13/(Z13+AA13))</f>
        <v>50.956083210758564</v>
      </c>
      <c r="AA20" s="58">
        <f t="shared" si="16"/>
        <v>49.043916789241436</v>
      </c>
    </row>
    <row r="21" spans="2:27" ht="14.25" customHeight="1">
      <c r="B21" s="59" t="s">
        <v>51</v>
      </c>
      <c r="C21" s="80">
        <f t="shared" si="17"/>
        <v>2520</v>
      </c>
      <c r="D21" s="59" t="s">
        <v>8</v>
      </c>
      <c r="E21" s="52"/>
      <c r="H21" s="27" t="s">
        <v>108</v>
      </c>
      <c r="I21" s="46">
        <v>0</v>
      </c>
      <c r="J21" s="46">
        <v>0</v>
      </c>
      <c r="K21" s="46">
        <f t="shared" si="15"/>
        <v>0</v>
      </c>
      <c r="L21" s="5"/>
      <c r="Y21" s="35" t="s">
        <v>109</v>
      </c>
      <c r="Z21" s="78">
        <f>Z18*Z19</f>
        <v>21969.279176201373</v>
      </c>
      <c r="AA21" s="58">
        <f>Z18*AA19</f>
        <v>17620.720823798631</v>
      </c>
    </row>
    <row r="22" spans="2:27" ht="14.25" customHeight="1">
      <c r="B22" s="56" t="s">
        <v>110</v>
      </c>
      <c r="C22" s="56">
        <f>I16/C5</f>
        <v>48.659782608695657</v>
      </c>
      <c r="D22" s="56"/>
      <c r="E22" s="56"/>
      <c r="H22" s="74"/>
      <c r="I22" s="36"/>
      <c r="J22" s="36"/>
      <c r="K22" s="36"/>
      <c r="L22" s="5"/>
      <c r="N22" s="311" t="s">
        <v>111</v>
      </c>
      <c r="O22" s="301"/>
      <c r="Y22" s="35" t="s">
        <v>112</v>
      </c>
      <c r="Z22" s="78">
        <f>Z18*Z20</f>
        <v>20173.513343139319</v>
      </c>
      <c r="AA22" s="58">
        <f>Z18*AA20</f>
        <v>19416.486656860685</v>
      </c>
    </row>
    <row r="23" spans="2:27" ht="14.25" customHeight="1">
      <c r="B23" s="81"/>
      <c r="C23" s="82"/>
      <c r="D23" s="82"/>
      <c r="E23" s="83"/>
      <c r="H23" s="74" t="s">
        <v>113</v>
      </c>
      <c r="I23" s="36">
        <f t="shared" ref="I23:K23" si="18">SUM(I19:I21)</f>
        <v>5020</v>
      </c>
      <c r="J23" s="36">
        <f t="shared" si="18"/>
        <v>4884.3</v>
      </c>
      <c r="K23" s="36">
        <f t="shared" si="18"/>
        <v>-135.70000000000019</v>
      </c>
      <c r="L23" s="5"/>
      <c r="N23" s="84" t="s">
        <v>114</v>
      </c>
      <c r="O23" s="85">
        <f>J29</f>
        <v>285.89999999999998</v>
      </c>
      <c r="Y23" s="35"/>
      <c r="Z23" s="35"/>
      <c r="AA23" s="35"/>
    </row>
    <row r="24" spans="2:27" ht="14.25" customHeight="1">
      <c r="B24" s="308" t="s">
        <v>115</v>
      </c>
      <c r="C24" s="300"/>
      <c r="D24" s="300"/>
      <c r="E24" s="301"/>
      <c r="H24" s="27"/>
      <c r="I24" s="46"/>
      <c r="J24" s="46"/>
      <c r="K24" s="46"/>
      <c r="L24" s="5"/>
      <c r="N24" s="86" t="s">
        <v>116</v>
      </c>
      <c r="O24" s="87">
        <f>P16</f>
        <v>0</v>
      </c>
      <c r="Y24" s="34" t="s">
        <v>117</v>
      </c>
      <c r="Z24" s="35"/>
      <c r="AA24" s="35"/>
    </row>
    <row r="25" spans="2:27" ht="14.25" customHeight="1">
      <c r="B25" s="51" t="s">
        <v>118</v>
      </c>
      <c r="C25" s="52">
        <v>8</v>
      </c>
      <c r="D25" s="52" t="s">
        <v>119</v>
      </c>
      <c r="E25" s="52"/>
      <c r="H25" s="74" t="s">
        <v>120</v>
      </c>
      <c r="I25" s="36"/>
      <c r="J25" s="36"/>
      <c r="K25" s="36"/>
      <c r="L25" s="5"/>
      <c r="N25" s="84" t="s">
        <v>121</v>
      </c>
      <c r="O25" s="85">
        <f>P3</f>
        <v>2400</v>
      </c>
      <c r="Y25" s="35" t="s">
        <v>40</v>
      </c>
      <c r="Z25" s="35"/>
      <c r="AA25" s="35"/>
    </row>
    <row r="26" spans="2:27" ht="14.25" customHeight="1">
      <c r="B26" s="27" t="s">
        <v>122</v>
      </c>
      <c r="C26" s="27">
        <v>200</v>
      </c>
      <c r="D26" s="27" t="s">
        <v>123</v>
      </c>
      <c r="E26" s="27"/>
      <c r="H26" s="27" t="s">
        <v>124</v>
      </c>
      <c r="I26" s="46">
        <v>0</v>
      </c>
      <c r="J26" s="46">
        <v>0</v>
      </c>
      <c r="K26" s="46">
        <f t="shared" ref="K26:K27" si="19">J26-I26</f>
        <v>0</v>
      </c>
      <c r="L26" s="5"/>
      <c r="N26" s="86" t="s">
        <v>125</v>
      </c>
      <c r="O26" s="88">
        <f>O23/O25</f>
        <v>0.11912499999999999</v>
      </c>
      <c r="Y26" s="35" t="s">
        <v>126</v>
      </c>
      <c r="Z26" s="35"/>
      <c r="AA26" s="35"/>
    </row>
    <row r="27" spans="2:27" ht="14.25" customHeight="1">
      <c r="B27" s="52" t="s">
        <v>127</v>
      </c>
      <c r="C27" s="52">
        <v>11.5</v>
      </c>
      <c r="D27" s="52" t="s">
        <v>18</v>
      </c>
      <c r="E27" s="52" t="s">
        <v>128</v>
      </c>
      <c r="H27" s="5" t="s">
        <v>129</v>
      </c>
      <c r="I27" s="36">
        <f>I23-I16</f>
        <v>543.29999999999927</v>
      </c>
      <c r="J27" s="36">
        <v>428.8</v>
      </c>
      <c r="K27" s="36">
        <f t="shared" si="19"/>
        <v>-114.49999999999926</v>
      </c>
      <c r="L27" s="5"/>
      <c r="N27" s="84" t="s">
        <v>130</v>
      </c>
      <c r="O27" s="89">
        <f>O24/3</f>
        <v>0</v>
      </c>
      <c r="Y27" s="35" t="s">
        <v>101</v>
      </c>
      <c r="Z27" s="35"/>
      <c r="AA27" s="35"/>
    </row>
    <row r="28" spans="2:27" ht="14.25" customHeight="1">
      <c r="B28" s="27" t="s">
        <v>131</v>
      </c>
      <c r="C28" s="27">
        <f>C33/C25</f>
        <v>10</v>
      </c>
      <c r="D28" s="27" t="s">
        <v>119</v>
      </c>
      <c r="E28" s="27"/>
      <c r="H28" s="27" t="s">
        <v>132</v>
      </c>
      <c r="I28" s="46">
        <f>33.33%*I27</f>
        <v>181.08188999999976</v>
      </c>
      <c r="J28" s="46">
        <f>J27 - J29</f>
        <v>142.90000000000003</v>
      </c>
      <c r="K28" s="46">
        <f>I28 - J28</f>
        <v>38.181889999999726</v>
      </c>
      <c r="L28" s="90">
        <v>0.33329999999999999</v>
      </c>
      <c r="Y28" s="35" t="s">
        <v>133</v>
      </c>
      <c r="Z28" s="35"/>
      <c r="AA28" s="35"/>
    </row>
    <row r="29" spans="2:27" ht="14.25" customHeight="1">
      <c r="B29" s="52" t="s">
        <v>134</v>
      </c>
      <c r="C29" s="52">
        <f>C26*C25</f>
        <v>1600</v>
      </c>
      <c r="D29" s="52" t="s">
        <v>8</v>
      </c>
      <c r="E29" s="52"/>
      <c r="H29" s="74" t="s">
        <v>135</v>
      </c>
      <c r="I29" s="36">
        <f>I27-I28</f>
        <v>362.21810999999951</v>
      </c>
      <c r="J29" s="36">
        <v>285.89999999999998</v>
      </c>
      <c r="K29" s="36">
        <f>J29-I29</f>
        <v>-76.318109999999535</v>
      </c>
      <c r="L29" s="5"/>
    </row>
    <row r="30" spans="2:27" ht="14.25" customHeight="1">
      <c r="B30" s="27" t="s">
        <v>136</v>
      </c>
      <c r="C30" s="28">
        <f>C27*C25*C28/10</f>
        <v>92</v>
      </c>
      <c r="D30" s="27" t="s">
        <v>18</v>
      </c>
      <c r="E30" s="27"/>
      <c r="H30" s="25" t="s">
        <v>137</v>
      </c>
      <c r="I30" s="25">
        <v>4.5999999999999996</v>
      </c>
    </row>
    <row r="31" spans="2:27" ht="14.25" customHeight="1">
      <c r="B31" s="91"/>
      <c r="C31" s="92"/>
      <c r="D31" s="93"/>
      <c r="E31" s="94"/>
    </row>
    <row r="32" spans="2:27" ht="14.25" customHeight="1">
      <c r="B32" s="308" t="s">
        <v>138</v>
      </c>
      <c r="C32" s="300"/>
      <c r="D32" s="300"/>
      <c r="E32" s="301"/>
    </row>
    <row r="33" spans="2:5" ht="14.25" customHeight="1">
      <c r="B33" s="51" t="s">
        <v>139</v>
      </c>
      <c r="C33" s="52">
        <v>80</v>
      </c>
      <c r="D33" s="52" t="s">
        <v>119</v>
      </c>
      <c r="E33" s="52"/>
    </row>
    <row r="34" spans="2:5" ht="14.25" customHeight="1">
      <c r="B34" s="27" t="s">
        <v>140</v>
      </c>
      <c r="C34" s="27">
        <v>18.5</v>
      </c>
      <c r="D34" s="27" t="s">
        <v>8</v>
      </c>
      <c r="E34" s="27"/>
    </row>
    <row r="35" spans="2:5" ht="14.25" customHeight="1">
      <c r="B35" s="52" t="s">
        <v>141</v>
      </c>
      <c r="C35" s="52">
        <f>C34*C33*0.1</f>
        <v>148</v>
      </c>
      <c r="D35" s="52" t="s">
        <v>8</v>
      </c>
      <c r="E35" s="52" t="s">
        <v>142</v>
      </c>
    </row>
    <row r="36" spans="2:5" ht="14.25" customHeight="1">
      <c r="B36" s="27" t="s">
        <v>143</v>
      </c>
      <c r="C36" s="27">
        <f>C34*C33</f>
        <v>1480</v>
      </c>
      <c r="D36" s="27" t="s">
        <v>8</v>
      </c>
      <c r="E36" s="27"/>
    </row>
    <row r="37" spans="2:5" ht="15" customHeight="1">
      <c r="B37" s="55" t="s">
        <v>144</v>
      </c>
      <c r="C37" s="55">
        <f>C7/0.2</f>
        <v>13</v>
      </c>
      <c r="D37" s="55" t="s">
        <v>119</v>
      </c>
      <c r="E37" s="309" t="s">
        <v>145</v>
      </c>
    </row>
    <row r="38" spans="2:5" ht="14.25" customHeight="1">
      <c r="B38" s="59" t="s">
        <v>146</v>
      </c>
      <c r="C38" s="59">
        <v>5</v>
      </c>
      <c r="D38" s="59" t="s">
        <v>119</v>
      </c>
      <c r="E38" s="310"/>
    </row>
    <row r="39" spans="2:5" ht="14.25" customHeight="1">
      <c r="B39" s="52" t="s">
        <v>147</v>
      </c>
      <c r="C39" s="52">
        <v>5.5</v>
      </c>
      <c r="D39" s="52" t="s">
        <v>148</v>
      </c>
      <c r="E39" s="52" t="s">
        <v>149</v>
      </c>
    </row>
    <row r="40" spans="2:5" ht="14.25" customHeight="1">
      <c r="B40" s="27" t="s">
        <v>150</v>
      </c>
      <c r="C40" s="27">
        <f>C34</f>
        <v>18.5</v>
      </c>
      <c r="D40" s="95" t="s">
        <v>8</v>
      </c>
      <c r="E40" s="27"/>
    </row>
    <row r="41" spans="2:5" ht="14.25" customHeight="1">
      <c r="B41" s="45" t="s">
        <v>151</v>
      </c>
      <c r="C41" s="45">
        <f>0.2*C34*(C37+C38)</f>
        <v>66.600000000000009</v>
      </c>
      <c r="D41" s="95" t="s">
        <v>8</v>
      </c>
      <c r="E41" s="45" t="s">
        <v>152</v>
      </c>
    </row>
    <row r="42" spans="2:5" ht="14.25" customHeight="1">
      <c r="B42" s="91"/>
      <c r="C42" s="93"/>
      <c r="D42" s="93"/>
      <c r="E42" s="94"/>
    </row>
    <row r="43" spans="2:5" ht="14.25" customHeight="1">
      <c r="B43" s="312" t="s">
        <v>153</v>
      </c>
      <c r="C43" s="313"/>
      <c r="D43" s="313"/>
      <c r="E43" s="314"/>
    </row>
    <row r="44" spans="2:5" ht="17.25" customHeight="1">
      <c r="B44" s="96" t="s">
        <v>154</v>
      </c>
      <c r="C44" s="97">
        <v>75</v>
      </c>
      <c r="D44" s="97" t="s">
        <v>8</v>
      </c>
      <c r="E44" s="98" t="s">
        <v>155</v>
      </c>
    </row>
    <row r="45" spans="2:5" ht="14.25" customHeight="1">
      <c r="B45" s="15" t="s">
        <v>156</v>
      </c>
      <c r="C45" s="3">
        <v>100</v>
      </c>
      <c r="D45" s="3" t="s">
        <v>8</v>
      </c>
      <c r="E45" s="4"/>
    </row>
    <row r="46" spans="2:5" ht="36" customHeight="1">
      <c r="B46" s="99" t="s">
        <v>157</v>
      </c>
      <c r="C46" s="100">
        <v>75</v>
      </c>
      <c r="D46" s="100" t="s">
        <v>8</v>
      </c>
      <c r="E46" s="101" t="s">
        <v>158</v>
      </c>
    </row>
    <row r="47" spans="2:5" ht="14.25" customHeight="1">
      <c r="B47" s="102"/>
      <c r="C47" s="103"/>
      <c r="D47" s="103"/>
      <c r="E47" s="104"/>
    </row>
    <row r="48" spans="2:5" ht="14.25" customHeight="1">
      <c r="B48" s="105"/>
      <c r="C48" s="106"/>
      <c r="D48" s="106"/>
      <c r="E48" s="10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11">
    <mergeCell ref="B32:E32"/>
    <mergeCell ref="E37:E38"/>
    <mergeCell ref="B43:E43"/>
    <mergeCell ref="H1:K1"/>
    <mergeCell ref="N1:Q1"/>
    <mergeCell ref="T1:W1"/>
    <mergeCell ref="Y2:AA2"/>
    <mergeCell ref="B4:E4"/>
    <mergeCell ref="E10:E11"/>
    <mergeCell ref="B24:E24"/>
    <mergeCell ref="N22:O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012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37" customWidth="1"/>
    <col min="3" max="3" width="11.33203125" customWidth="1"/>
    <col min="4" max="4" width="10.6640625" customWidth="1"/>
    <col min="5" max="5" width="53.44140625" customWidth="1"/>
    <col min="6" max="6" width="10.6640625" customWidth="1"/>
    <col min="7" max="7" width="8" customWidth="1"/>
    <col min="8" max="8" width="35.5546875" customWidth="1"/>
    <col min="9" max="10" width="10.6640625" customWidth="1"/>
    <col min="11" max="11" width="13.5546875" customWidth="1"/>
    <col min="12" max="12" width="29" customWidth="1"/>
    <col min="13" max="13" width="10.6640625" customWidth="1"/>
    <col min="14" max="14" width="35.5546875" customWidth="1"/>
    <col min="15" max="15" width="12.6640625" customWidth="1"/>
    <col min="16" max="16" width="13.109375" customWidth="1"/>
    <col min="17" max="17" width="10.6640625" customWidth="1"/>
    <col min="18" max="18" width="5.44140625" customWidth="1"/>
    <col min="19" max="19" width="22.44140625" customWidth="1"/>
    <col min="20" max="20" width="26.44140625" customWidth="1"/>
    <col min="21" max="21" width="14.5546875" customWidth="1"/>
    <col min="22" max="22" width="10.6640625" customWidth="1"/>
    <col min="23" max="23" width="5.33203125" customWidth="1"/>
    <col min="24" max="24" width="30.44140625" customWidth="1"/>
    <col min="25" max="25" width="17.88671875" customWidth="1"/>
    <col min="26" max="26" width="13" customWidth="1"/>
  </cols>
  <sheetData>
    <row r="1" spans="2:26" ht="14.25" customHeight="1">
      <c r="B1" s="19" t="s">
        <v>17</v>
      </c>
      <c r="C1" s="19">
        <v>4.5999999999999996</v>
      </c>
      <c r="D1" s="19" t="s">
        <v>18</v>
      </c>
      <c r="E1" s="20"/>
      <c r="H1" s="315" t="s">
        <v>19</v>
      </c>
      <c r="I1" s="300"/>
      <c r="J1" s="300"/>
      <c r="K1" s="301"/>
      <c r="L1" s="21"/>
      <c r="N1" s="316" t="s">
        <v>20</v>
      </c>
      <c r="O1" s="300"/>
      <c r="P1" s="300"/>
      <c r="Q1" s="301"/>
    </row>
    <row r="2" spans="2:26" ht="14.25" customHeight="1">
      <c r="B2" s="108"/>
      <c r="C2" s="108"/>
      <c r="D2" s="108"/>
      <c r="E2" s="108"/>
      <c r="H2" s="5"/>
      <c r="I2" s="5" t="s">
        <v>22</v>
      </c>
      <c r="J2" s="5" t="s">
        <v>23</v>
      </c>
      <c r="K2" s="5" t="s">
        <v>24</v>
      </c>
      <c r="L2" s="5"/>
      <c r="N2" s="21"/>
      <c r="O2" s="21" t="s">
        <v>22</v>
      </c>
      <c r="P2" s="21" t="s">
        <v>23</v>
      </c>
      <c r="Q2" s="21" t="s">
        <v>24</v>
      </c>
    </row>
    <row r="3" spans="2:26" ht="14.25" customHeight="1">
      <c r="H3" s="109" t="s">
        <v>27</v>
      </c>
      <c r="I3" s="110"/>
      <c r="J3" s="110"/>
      <c r="K3" s="110">
        <v>5.7</v>
      </c>
      <c r="L3" s="111" t="s">
        <v>159</v>
      </c>
      <c r="N3" s="29" t="s">
        <v>28</v>
      </c>
      <c r="O3" s="30">
        <v>617.5</v>
      </c>
      <c r="P3" s="30">
        <v>617.4</v>
      </c>
      <c r="Q3" s="30">
        <f>O3-P3</f>
        <v>0.10000000000002274</v>
      </c>
      <c r="S3" s="307" t="s">
        <v>21</v>
      </c>
      <c r="T3" s="300"/>
      <c r="U3" s="300"/>
      <c r="V3" s="301"/>
      <c r="X3" s="307" t="s">
        <v>26</v>
      </c>
      <c r="Y3" s="300"/>
      <c r="Z3" s="301"/>
    </row>
    <row r="4" spans="2:26" ht="14.25" customHeight="1">
      <c r="B4" s="308" t="s">
        <v>30</v>
      </c>
      <c r="C4" s="300"/>
      <c r="D4" s="300"/>
      <c r="E4" s="301"/>
      <c r="H4" s="5" t="s">
        <v>31</v>
      </c>
      <c r="I4" s="36">
        <f>$K$3*C5</f>
        <v>943.35</v>
      </c>
      <c r="J4" s="36">
        <v>943.3</v>
      </c>
      <c r="K4" s="36">
        <f t="shared" ref="K4:K16" si="0">J4-I4</f>
        <v>-5.0000000000068212E-2</v>
      </c>
      <c r="L4" s="5" t="s">
        <v>160</v>
      </c>
      <c r="N4" s="37"/>
      <c r="O4" s="38"/>
      <c r="P4" s="38"/>
      <c r="Q4" s="39"/>
      <c r="S4" s="112" t="s">
        <v>161</v>
      </c>
      <c r="T4" s="113"/>
      <c r="U4" s="113"/>
      <c r="V4" s="113"/>
      <c r="X4" s="34" t="s">
        <v>29</v>
      </c>
      <c r="Y4" s="35" t="s">
        <v>93</v>
      </c>
      <c r="Z4" s="35" t="s">
        <v>94</v>
      </c>
    </row>
    <row r="5" spans="2:26" ht="14.25" customHeight="1">
      <c r="B5" s="44" t="s">
        <v>35</v>
      </c>
      <c r="C5" s="45">
        <v>165.5</v>
      </c>
      <c r="D5" s="45" t="s">
        <v>18</v>
      </c>
      <c r="E5" s="45"/>
      <c r="H5" s="27" t="s">
        <v>36</v>
      </c>
      <c r="I5" s="46">
        <f>C41</f>
        <v>3150</v>
      </c>
      <c r="J5" s="46">
        <v>3129</v>
      </c>
      <c r="K5" s="46">
        <f t="shared" si="0"/>
        <v>-21</v>
      </c>
      <c r="L5" s="114" t="s">
        <v>37</v>
      </c>
      <c r="N5" s="47" t="s">
        <v>38</v>
      </c>
      <c r="O5" s="30">
        <f>594.84 + 7/8 * I22</f>
        <v>8926.59</v>
      </c>
      <c r="P5" s="30">
        <v>8894.7000000000007</v>
      </c>
      <c r="Q5" s="30">
        <f t="shared" ref="Q5:Q10" si="1">O5-P5</f>
        <v>31.889999999999418</v>
      </c>
      <c r="S5" s="54" t="s">
        <v>33</v>
      </c>
      <c r="T5" s="38">
        <f>C32-I14</f>
        <v>2540</v>
      </c>
      <c r="U5" s="38">
        <v>2540</v>
      </c>
      <c r="V5" s="38"/>
      <c r="X5" s="35" t="s">
        <v>34</v>
      </c>
      <c r="Y5" s="43">
        <f>J4+J5+J6+J10+J14-J19</f>
        <v>5097.9000000000005</v>
      </c>
      <c r="Z5" s="35"/>
    </row>
    <row r="6" spans="2:26" ht="14.25" customHeight="1">
      <c r="B6" s="115" t="s">
        <v>41</v>
      </c>
      <c r="C6" s="116">
        <f>C7+C8</f>
        <v>4.8000000000000007</v>
      </c>
      <c r="D6" s="116"/>
      <c r="E6" s="116"/>
      <c r="H6" s="5" t="s">
        <v>42</v>
      </c>
      <c r="I6" s="36">
        <v>0</v>
      </c>
      <c r="J6" s="36">
        <v>0</v>
      </c>
      <c r="K6" s="53">
        <f t="shared" si="0"/>
        <v>0</v>
      </c>
      <c r="L6" s="5"/>
      <c r="N6" s="54" t="s">
        <v>43</v>
      </c>
      <c r="O6" s="38">
        <f>I24</f>
        <v>-134.625</v>
      </c>
      <c r="P6" s="38">
        <v>-136.6</v>
      </c>
      <c r="Q6" s="39">
        <f t="shared" si="1"/>
        <v>1.9749999999999943</v>
      </c>
      <c r="S6" s="113" t="s">
        <v>39</v>
      </c>
      <c r="T6" s="117">
        <f>I20</f>
        <v>0</v>
      </c>
      <c r="U6" s="117">
        <v>0</v>
      </c>
      <c r="V6" s="117"/>
      <c r="X6" s="35" t="s">
        <v>40</v>
      </c>
      <c r="Y6" s="35">
        <f>4.6+C5</f>
        <v>170.1</v>
      </c>
      <c r="Z6" s="35"/>
    </row>
    <row r="7" spans="2:26" ht="14.25" customHeight="1">
      <c r="B7" s="55" t="s">
        <v>46</v>
      </c>
      <c r="C7" s="55">
        <f t="shared" ref="C7:C8" si="2">(C42+C44)*0.2</f>
        <v>2.6</v>
      </c>
      <c r="D7" s="55" t="s">
        <v>18</v>
      </c>
      <c r="E7" s="56" t="s">
        <v>162</v>
      </c>
      <c r="H7" s="27" t="s">
        <v>47</v>
      </c>
      <c r="I7" s="46">
        <f>SUM(C42:C45)*C47+C46*0.01*C18</f>
        <v>1075.32</v>
      </c>
      <c r="J7" s="46">
        <v>1073.0999999999999</v>
      </c>
      <c r="K7" s="46">
        <f t="shared" si="0"/>
        <v>-2.2200000000000273</v>
      </c>
      <c r="L7" s="114"/>
      <c r="N7" s="47" t="s">
        <v>49</v>
      </c>
      <c r="O7" s="30">
        <f>PASTOUCHER!O7</f>
        <v>0</v>
      </c>
      <c r="P7" s="30">
        <v>0</v>
      </c>
      <c r="Q7" s="30">
        <f t="shared" si="1"/>
        <v>0</v>
      </c>
      <c r="S7" s="54" t="s">
        <v>44</v>
      </c>
      <c r="T7" s="38">
        <f>1/8*I22</f>
        <v>1190.25</v>
      </c>
      <c r="U7" s="38">
        <v>1185.7</v>
      </c>
      <c r="V7" s="38"/>
      <c r="X7" s="35" t="s">
        <v>45</v>
      </c>
      <c r="Y7" s="35">
        <f>Y5/Y6</f>
        <v>29.970017636684307</v>
      </c>
      <c r="Z7" s="35"/>
    </row>
    <row r="8" spans="2:26" ht="14.25" customHeight="1">
      <c r="B8" s="59" t="s">
        <v>51</v>
      </c>
      <c r="C8" s="59">
        <f t="shared" si="2"/>
        <v>2.2000000000000002</v>
      </c>
      <c r="D8" s="59" t="s">
        <v>18</v>
      </c>
      <c r="E8" s="56"/>
      <c r="H8" s="5" t="s">
        <v>52</v>
      </c>
      <c r="I8" s="36">
        <f>0.05*C18</f>
        <v>476.1</v>
      </c>
      <c r="J8" s="36">
        <v>474.3</v>
      </c>
      <c r="K8" s="53">
        <f t="shared" si="0"/>
        <v>-1.8000000000000114</v>
      </c>
      <c r="L8" s="5" t="s">
        <v>53</v>
      </c>
      <c r="N8" s="54" t="s">
        <v>54</v>
      </c>
      <c r="O8" s="38">
        <v>0</v>
      </c>
      <c r="P8" s="38">
        <v>0</v>
      </c>
      <c r="Q8" s="39">
        <f t="shared" si="1"/>
        <v>0</v>
      </c>
      <c r="S8" s="113" t="s">
        <v>50</v>
      </c>
      <c r="T8" s="117">
        <f>O20</f>
        <v>733.3925890999999</v>
      </c>
      <c r="U8" s="117">
        <v>556.9</v>
      </c>
      <c r="V8" s="117"/>
      <c r="X8" s="35" t="s">
        <v>163</v>
      </c>
      <c r="Y8" s="118">
        <v>90.1</v>
      </c>
      <c r="Z8" s="119">
        <v>80</v>
      </c>
    </row>
    <row r="9" spans="2:26" ht="14.25" customHeight="1">
      <c r="B9" s="61" t="s">
        <v>57</v>
      </c>
      <c r="C9" s="45"/>
      <c r="D9" s="45"/>
      <c r="E9" s="45"/>
      <c r="H9" s="27" t="s">
        <v>58</v>
      </c>
      <c r="I9" s="46">
        <f>'Période 1'!J9+(C10+C11)/2*0.01*I19/2</f>
        <v>-28.867999999999999</v>
      </c>
      <c r="J9" s="62">
        <v>6.3</v>
      </c>
      <c r="K9" s="46">
        <f t="shared" si="0"/>
        <v>35.167999999999999</v>
      </c>
      <c r="L9" s="114" t="s">
        <v>164</v>
      </c>
      <c r="N9" s="47" t="s">
        <v>59</v>
      </c>
      <c r="O9" s="30">
        <v>790</v>
      </c>
      <c r="P9" s="30">
        <v>790</v>
      </c>
      <c r="Q9" s="30">
        <f t="shared" si="1"/>
        <v>0</v>
      </c>
      <c r="S9" s="77" t="s">
        <v>55</v>
      </c>
      <c r="T9" s="38">
        <f t="shared" ref="T9:U9" si="3">SUM(T5:T8)</f>
        <v>4463.6425890999999</v>
      </c>
      <c r="U9" s="38">
        <f t="shared" si="3"/>
        <v>4282.5999999999995</v>
      </c>
      <c r="V9" s="38"/>
      <c r="X9" s="35" t="s">
        <v>165</v>
      </c>
      <c r="Y9" s="120">
        <f>Y8*Y7</f>
        <v>2700.2985890652558</v>
      </c>
      <c r="Z9" s="121">
        <f>Z8*Y7</f>
        <v>2397.6014109347448</v>
      </c>
    </row>
    <row r="10" spans="2:26" ht="14.25" customHeight="1">
      <c r="B10" s="55" t="s">
        <v>46</v>
      </c>
      <c r="C10" s="55">
        <v>52</v>
      </c>
      <c r="D10" s="55" t="s">
        <v>8</v>
      </c>
      <c r="E10" s="309" t="s">
        <v>166</v>
      </c>
      <c r="H10" s="5" t="s">
        <v>62</v>
      </c>
      <c r="I10" s="36">
        <f>30*C25+C53</f>
        <v>600</v>
      </c>
      <c r="J10" s="36">
        <v>600</v>
      </c>
      <c r="K10" s="53">
        <f t="shared" si="0"/>
        <v>0</v>
      </c>
      <c r="L10" s="5" t="s">
        <v>63</v>
      </c>
      <c r="N10" s="65" t="s">
        <v>64</v>
      </c>
      <c r="O10" s="66">
        <f t="shared" ref="O10:P10" si="4">SUM(O3:O9)</f>
        <v>10199.465</v>
      </c>
      <c r="P10" s="66">
        <f t="shared" si="4"/>
        <v>10165.5</v>
      </c>
      <c r="Q10" s="66">
        <f t="shared" si="1"/>
        <v>33.965000000000146</v>
      </c>
      <c r="S10" s="113"/>
      <c r="T10" s="117"/>
      <c r="U10" s="117"/>
      <c r="V10" s="117"/>
      <c r="X10" s="35" t="s">
        <v>60</v>
      </c>
      <c r="Y10" s="118">
        <v>500</v>
      </c>
      <c r="Z10" s="119">
        <v>600</v>
      </c>
    </row>
    <row r="11" spans="2:26" ht="14.25" customHeight="1">
      <c r="B11" s="59" t="s">
        <v>51</v>
      </c>
      <c r="C11" s="59">
        <v>60</v>
      </c>
      <c r="D11" s="59" t="s">
        <v>8</v>
      </c>
      <c r="E11" s="310"/>
      <c r="H11" s="27" t="s">
        <v>66</v>
      </c>
      <c r="I11" s="46">
        <f>C52</f>
        <v>200</v>
      </c>
      <c r="J11" s="46">
        <v>200</v>
      </c>
      <c r="K11" s="46">
        <f t="shared" si="0"/>
        <v>0</v>
      </c>
      <c r="L11" s="114"/>
      <c r="N11" s="68"/>
      <c r="O11" s="122"/>
      <c r="P11" s="122"/>
      <c r="Q11" s="122"/>
      <c r="S11" s="123" t="s">
        <v>167</v>
      </c>
      <c r="T11" s="38"/>
      <c r="U11" s="38"/>
      <c r="V11" s="38"/>
      <c r="X11" s="35" t="s">
        <v>65</v>
      </c>
      <c r="Y11" s="120">
        <f>Y15*C46% + (C42+C44)*C47</f>
        <v>554.11199999999997</v>
      </c>
      <c r="Z11" s="121">
        <f>Z15*C46% +(C43+C45)*C47</f>
        <v>519</v>
      </c>
    </row>
    <row r="12" spans="2:26" ht="14.25" customHeight="1">
      <c r="B12" s="44" t="s">
        <v>69</v>
      </c>
      <c r="C12" s="45">
        <f>C13+C14</f>
        <v>1100</v>
      </c>
      <c r="D12" s="45" t="s">
        <v>8</v>
      </c>
      <c r="E12" s="45"/>
      <c r="H12" s="5" t="s">
        <v>70</v>
      </c>
      <c r="I12" s="36">
        <v>0</v>
      </c>
      <c r="J12" s="36">
        <v>55.3</v>
      </c>
      <c r="K12" s="53">
        <f t="shared" si="0"/>
        <v>55.3</v>
      </c>
      <c r="L12" s="5" t="s">
        <v>71</v>
      </c>
      <c r="N12" s="54" t="s">
        <v>72</v>
      </c>
      <c r="O12" s="38">
        <f>I16 - I14 - 1/6*I4 + 1/6*552</f>
        <v>7697.8769999999995</v>
      </c>
      <c r="P12" s="38">
        <v>7765.4</v>
      </c>
      <c r="Q12" s="39">
        <f t="shared" ref="Q12:Q17" si="5">O12-P12</f>
        <v>-67.523000000000138</v>
      </c>
      <c r="S12" s="113" t="s">
        <v>67</v>
      </c>
      <c r="T12" s="117">
        <v>2400</v>
      </c>
      <c r="U12" s="117">
        <v>2400</v>
      </c>
      <c r="V12" s="117"/>
      <c r="X12" s="35" t="s">
        <v>68</v>
      </c>
      <c r="Y12" s="120">
        <f t="shared" ref="Y12:Z12" si="6">5%*Y15</f>
        <v>234.26</v>
      </c>
      <c r="Z12" s="121">
        <f t="shared" si="6"/>
        <v>240</v>
      </c>
    </row>
    <row r="13" spans="2:26" ht="14.25" customHeight="1">
      <c r="B13" s="55" t="s">
        <v>46</v>
      </c>
      <c r="C13" s="55">
        <v>500</v>
      </c>
      <c r="D13" s="55" t="s">
        <v>8</v>
      </c>
      <c r="E13" s="5" t="s">
        <v>168</v>
      </c>
      <c r="H13" s="27" t="s">
        <v>75</v>
      </c>
      <c r="I13" s="46">
        <f>C12</f>
        <v>1100</v>
      </c>
      <c r="J13" s="46">
        <v>1100</v>
      </c>
      <c r="K13" s="46">
        <f t="shared" si="0"/>
        <v>0</v>
      </c>
      <c r="L13" s="114"/>
      <c r="N13" s="47" t="s">
        <v>76</v>
      </c>
      <c r="O13" s="30">
        <f>C28*C27</f>
        <v>1400</v>
      </c>
      <c r="P13" s="30">
        <v>1400</v>
      </c>
      <c r="Q13" s="30">
        <f t="shared" si="5"/>
        <v>0</v>
      </c>
      <c r="S13" s="54" t="s">
        <v>73</v>
      </c>
      <c r="T13" s="38">
        <f>I32 + 'Période 1'!U12</f>
        <v>940.6956990999995</v>
      </c>
      <c r="U13" s="38">
        <v>1014.4</v>
      </c>
      <c r="V13" s="38"/>
      <c r="X13" s="35" t="s">
        <v>74</v>
      </c>
      <c r="Y13" s="120">
        <f t="shared" ref="Y13:Z13" si="7">SUM(Y9:Y12)</f>
        <v>3988.6705890652556</v>
      </c>
      <c r="Z13" s="121">
        <f t="shared" si="7"/>
        <v>3756.6014109347448</v>
      </c>
    </row>
    <row r="14" spans="2:26" ht="14.25" customHeight="1">
      <c r="B14" s="59" t="s">
        <v>51</v>
      </c>
      <c r="C14" s="59">
        <v>600</v>
      </c>
      <c r="D14" s="59" t="s">
        <v>8</v>
      </c>
      <c r="E14" s="5" t="s">
        <v>169</v>
      </c>
      <c r="H14" s="5" t="s">
        <v>79</v>
      </c>
      <c r="I14" s="36">
        <f>0.1*C31</f>
        <v>300</v>
      </c>
      <c r="J14" s="36">
        <v>300</v>
      </c>
      <c r="K14" s="53">
        <f t="shared" si="0"/>
        <v>0</v>
      </c>
      <c r="L14" s="5" t="s">
        <v>80</v>
      </c>
      <c r="N14" s="54" t="s">
        <v>81</v>
      </c>
      <c r="O14" s="38">
        <f>'Période 1'!P14+10%*O9</f>
        <v>79</v>
      </c>
      <c r="P14" s="38">
        <v>79</v>
      </c>
      <c r="Q14" s="39">
        <f t="shared" si="5"/>
        <v>0</v>
      </c>
      <c r="S14" s="113" t="s">
        <v>77</v>
      </c>
      <c r="T14" s="117">
        <v>0</v>
      </c>
      <c r="U14" s="117">
        <v>0</v>
      </c>
      <c r="V14" s="117"/>
      <c r="X14" s="124" t="s">
        <v>170</v>
      </c>
      <c r="Y14" s="125">
        <f t="shared" ref="Y14:Z14" si="8">Y9/Y8</f>
        <v>29.970017636684307</v>
      </c>
      <c r="Z14" s="126">
        <f t="shared" si="8"/>
        <v>29.970017636684311</v>
      </c>
    </row>
    <row r="15" spans="2:26" ht="14.25" customHeight="1">
      <c r="B15" s="115" t="s">
        <v>84</v>
      </c>
      <c r="C15" s="127">
        <f>SUM(C16:C17)</f>
        <v>170.1</v>
      </c>
      <c r="D15" s="116"/>
      <c r="E15" s="45"/>
      <c r="H15" s="27" t="s">
        <v>85</v>
      </c>
      <c r="I15" s="46">
        <f>C40+C48+C51</f>
        <v>247.2</v>
      </c>
      <c r="J15" s="46">
        <v>249.3</v>
      </c>
      <c r="K15" s="46">
        <f t="shared" si="0"/>
        <v>2.1000000000000227</v>
      </c>
      <c r="L15" s="114" t="s">
        <v>86</v>
      </c>
      <c r="N15" s="47" t="s">
        <v>87</v>
      </c>
      <c r="O15" s="30">
        <f>33.33%*I29</f>
        <v>289.1954108999999</v>
      </c>
      <c r="P15" s="30">
        <v>364.2</v>
      </c>
      <c r="Q15" s="30">
        <f t="shared" si="5"/>
        <v>-75.004589100000089</v>
      </c>
      <c r="S15" s="123" t="s">
        <v>82</v>
      </c>
      <c r="T15" s="38">
        <f t="shared" ref="T15:U15" si="9">SUM(T12:T14)</f>
        <v>3340.6956990999997</v>
      </c>
      <c r="U15" s="38">
        <f t="shared" si="9"/>
        <v>3414.4</v>
      </c>
      <c r="V15" s="38"/>
      <c r="X15" s="35" t="s">
        <v>78</v>
      </c>
      <c r="Y15" s="118">
        <f>52*Y8</f>
        <v>4685.2</v>
      </c>
      <c r="Z15" s="119">
        <f>60*Z8</f>
        <v>4800</v>
      </c>
    </row>
    <row r="16" spans="2:26" ht="14.25" customHeight="1">
      <c r="B16" s="55" t="s">
        <v>46</v>
      </c>
      <c r="C16" s="73">
        <v>85.5</v>
      </c>
      <c r="D16" s="55" t="s">
        <v>18</v>
      </c>
      <c r="E16" s="45" t="s">
        <v>171</v>
      </c>
      <c r="H16" s="128" t="s">
        <v>90</v>
      </c>
      <c r="I16" s="129">
        <f>SUM(I4:I15)</f>
        <v>8063.1019999999999</v>
      </c>
      <c r="J16" s="129">
        <f>SUM(J4:J15)</f>
        <v>8130.6</v>
      </c>
      <c r="K16" s="129">
        <f t="shared" si="0"/>
        <v>67.498000000000502</v>
      </c>
      <c r="L16" s="130"/>
      <c r="N16" s="54" t="s">
        <v>91</v>
      </c>
      <c r="O16" s="38">
        <v>0</v>
      </c>
      <c r="P16" s="38">
        <v>0</v>
      </c>
      <c r="Q16" s="39">
        <f t="shared" si="5"/>
        <v>0</v>
      </c>
      <c r="S16" s="113"/>
      <c r="T16" s="117"/>
      <c r="U16" s="117"/>
      <c r="V16" s="117"/>
      <c r="X16" s="35" t="s">
        <v>83</v>
      </c>
      <c r="Y16" s="120">
        <f t="shared" ref="Y16:Z16" si="10">Y15-Y13</f>
        <v>696.52941093474419</v>
      </c>
      <c r="Z16" s="121">
        <f t="shared" si="10"/>
        <v>1043.3985890652552</v>
      </c>
    </row>
    <row r="17" spans="2:26" ht="14.25" customHeight="1">
      <c r="B17" s="59" t="s">
        <v>51</v>
      </c>
      <c r="C17" s="76">
        <v>84.6</v>
      </c>
      <c r="D17" s="59" t="s">
        <v>18</v>
      </c>
      <c r="E17" s="45" t="s">
        <v>172</v>
      </c>
      <c r="H17" s="27"/>
      <c r="I17" s="131"/>
      <c r="J17" s="131"/>
      <c r="K17" s="131"/>
      <c r="L17" s="114"/>
      <c r="N17" s="65" t="s">
        <v>95</v>
      </c>
      <c r="O17" s="66">
        <f t="shared" ref="O17:P17" si="11">SUM(O12:O16)</f>
        <v>9466.0724109000002</v>
      </c>
      <c r="P17" s="66">
        <f t="shared" si="11"/>
        <v>9608.6</v>
      </c>
      <c r="Q17" s="66">
        <f t="shared" si="5"/>
        <v>-142.52758910000011</v>
      </c>
      <c r="S17" s="113"/>
      <c r="T17" s="117"/>
      <c r="U17" s="117"/>
      <c r="V17" s="117"/>
      <c r="X17" s="132" t="s">
        <v>89</v>
      </c>
      <c r="Y17" s="133">
        <f t="shared" ref="Y17:Z17" si="12">Y16/Y8</f>
        <v>7.730626092505485</v>
      </c>
      <c r="Z17" s="133">
        <f t="shared" si="12"/>
        <v>13.04248236331569</v>
      </c>
    </row>
    <row r="18" spans="2:26" ht="14.25" customHeight="1">
      <c r="B18" s="115" t="s">
        <v>101</v>
      </c>
      <c r="C18" s="134">
        <f>C19+C20</f>
        <v>9522</v>
      </c>
      <c r="D18" s="116" t="s">
        <v>8</v>
      </c>
      <c r="E18" s="45"/>
      <c r="H18" s="317" t="s">
        <v>98</v>
      </c>
      <c r="I18" s="300"/>
      <c r="J18" s="300"/>
      <c r="K18" s="300"/>
      <c r="L18" s="301"/>
      <c r="N18" s="77"/>
      <c r="O18" s="135"/>
      <c r="P18" s="135"/>
      <c r="Q18" s="136"/>
      <c r="S18" s="113"/>
      <c r="T18" s="117"/>
      <c r="U18" s="117"/>
      <c r="V18" s="117"/>
      <c r="X18" s="35"/>
      <c r="Y18" s="35"/>
      <c r="Z18" s="35"/>
    </row>
    <row r="19" spans="2:26" ht="14.25" customHeight="1">
      <c r="B19" s="55" t="s">
        <v>46</v>
      </c>
      <c r="C19" s="55">
        <f t="shared" ref="C19:C20" si="13">C16*C10</f>
        <v>4446</v>
      </c>
      <c r="D19" s="55" t="s">
        <v>8</v>
      </c>
      <c r="E19" s="27"/>
      <c r="H19" s="27" t="s">
        <v>173</v>
      </c>
      <c r="I19" s="46">
        <f>I20-'Période 1'!J19</f>
        <v>-125.6</v>
      </c>
      <c r="J19" s="46">
        <v>-125.6</v>
      </c>
      <c r="K19" s="46">
        <f t="shared" ref="K19:K20" si="14">J19-I19</f>
        <v>0</v>
      </c>
      <c r="L19" s="114" t="s">
        <v>174</v>
      </c>
      <c r="N19" s="137"/>
      <c r="O19" s="136"/>
      <c r="P19" s="136"/>
      <c r="Q19" s="136"/>
      <c r="S19" s="113" t="s">
        <v>88</v>
      </c>
      <c r="T19" s="117">
        <v>711</v>
      </c>
      <c r="U19" s="117">
        <v>711</v>
      </c>
      <c r="V19" s="117"/>
      <c r="X19" s="34" t="s">
        <v>97</v>
      </c>
      <c r="Y19" s="138"/>
      <c r="Z19" s="139"/>
    </row>
    <row r="20" spans="2:26" ht="14.25" customHeight="1">
      <c r="B20" s="59" t="s">
        <v>51</v>
      </c>
      <c r="C20" s="59">
        <f t="shared" si="13"/>
        <v>5076</v>
      </c>
      <c r="D20" s="59" t="s">
        <v>8</v>
      </c>
      <c r="E20" s="52"/>
      <c r="H20" s="5" t="s">
        <v>175</v>
      </c>
      <c r="I20" s="36">
        <v>0</v>
      </c>
      <c r="J20" s="36">
        <v>0</v>
      </c>
      <c r="K20" s="36">
        <f t="shared" si="14"/>
        <v>0</v>
      </c>
      <c r="L20" s="5" t="s">
        <v>176</v>
      </c>
      <c r="N20" s="65" t="s">
        <v>103</v>
      </c>
      <c r="O20" s="66">
        <f>O10-O17</f>
        <v>733.3925890999999</v>
      </c>
      <c r="P20" s="66">
        <v>556.9</v>
      </c>
      <c r="Q20" s="66">
        <f>O20-P20</f>
        <v>176.49258909999992</v>
      </c>
      <c r="S20" s="54" t="s">
        <v>92</v>
      </c>
      <c r="T20" s="38">
        <f>I4/6</f>
        <v>157.22499999999999</v>
      </c>
      <c r="U20" s="38">
        <v>157.19999999999999</v>
      </c>
      <c r="V20" s="38"/>
      <c r="X20" s="35" t="s">
        <v>100</v>
      </c>
      <c r="Y20" s="140">
        <f>J9+J11+J12+J15+J24</f>
        <v>374.30000000000007</v>
      </c>
      <c r="Z20" s="139"/>
    </row>
    <row r="21" spans="2:26" ht="14.25" customHeight="1">
      <c r="B21" s="56" t="s">
        <v>177</v>
      </c>
      <c r="C21" s="141">
        <f>I16/C5</f>
        <v>48.719649546827796</v>
      </c>
      <c r="D21" s="56"/>
      <c r="E21" s="56"/>
      <c r="H21" s="114"/>
      <c r="I21" s="142"/>
      <c r="J21" s="142"/>
      <c r="K21" s="142"/>
      <c r="L21" s="114"/>
      <c r="S21" s="113" t="s">
        <v>96</v>
      </c>
      <c r="T21" s="117">
        <v>0</v>
      </c>
      <c r="U21" s="117">
        <v>0</v>
      </c>
      <c r="V21" s="117"/>
      <c r="X21" s="35" t="s">
        <v>104</v>
      </c>
      <c r="Y21" s="143">
        <f>100*Y8/Y6</f>
        <v>52.968841857730752</v>
      </c>
      <c r="Z21" s="121">
        <f>100*Z8/Y6</f>
        <v>47.031158142269256</v>
      </c>
    </row>
    <row r="22" spans="2:26" ht="14.25" customHeight="1">
      <c r="B22" s="81"/>
      <c r="C22" s="82"/>
      <c r="D22" s="82"/>
      <c r="E22" s="83"/>
      <c r="H22" s="114" t="s">
        <v>105</v>
      </c>
      <c r="I22" s="142">
        <f>C18</f>
        <v>9522</v>
      </c>
      <c r="J22" s="142">
        <v>9485.6</v>
      </c>
      <c r="K22" s="142">
        <f t="shared" ref="K22:K24" si="15">J22-I22</f>
        <v>-36.399999999999636</v>
      </c>
      <c r="L22" s="114" t="s">
        <v>106</v>
      </c>
      <c r="S22" s="77"/>
      <c r="T22" s="38"/>
      <c r="U22" s="38"/>
      <c r="V22" s="38"/>
      <c r="X22" s="35" t="s">
        <v>107</v>
      </c>
      <c r="Y22" s="143">
        <f>100*(Y15/(Y15+Z15))</f>
        <v>49.394846708556486</v>
      </c>
      <c r="Z22" s="121">
        <f>100*(Z15/(Z15+Y15))</f>
        <v>50.605153291443507</v>
      </c>
    </row>
    <row r="23" spans="2:26" ht="14.25" customHeight="1">
      <c r="B23" s="308" t="s">
        <v>115</v>
      </c>
      <c r="C23" s="300"/>
      <c r="D23" s="300"/>
      <c r="E23" s="301"/>
      <c r="H23" s="144" t="s">
        <v>178</v>
      </c>
      <c r="I23" s="53">
        <v>-165.5</v>
      </c>
      <c r="J23" s="53">
        <v>-165.5</v>
      </c>
      <c r="K23" s="53">
        <f t="shared" si="15"/>
        <v>0</v>
      </c>
      <c r="L23" s="144" t="s">
        <v>179</v>
      </c>
      <c r="N23" s="311" t="s">
        <v>111</v>
      </c>
      <c r="O23" s="301"/>
      <c r="S23" s="77" t="s">
        <v>99</v>
      </c>
      <c r="T23" s="38">
        <f t="shared" ref="T23:U23" si="16">SUM(T15:T21)</f>
        <v>4208.9206991000001</v>
      </c>
      <c r="U23" s="38">
        <f t="shared" si="16"/>
        <v>4282.5999999999995</v>
      </c>
      <c r="V23" s="38"/>
      <c r="X23" s="35" t="s">
        <v>109</v>
      </c>
      <c r="Y23" s="143">
        <f>Y20*Y21</f>
        <v>19826.237507348626</v>
      </c>
      <c r="Z23" s="121">
        <f>Z22*Y20</f>
        <v>18941.508876987307</v>
      </c>
    </row>
    <row r="24" spans="2:26" ht="14.25" customHeight="1">
      <c r="B24" s="51"/>
      <c r="C24" s="52"/>
      <c r="D24" s="52"/>
      <c r="E24" s="52"/>
      <c r="H24" s="27" t="s">
        <v>108</v>
      </c>
      <c r="I24" s="46">
        <f>I23 + 0.05*'Période 1'!P19</f>
        <v>-134.625</v>
      </c>
      <c r="J24" s="46">
        <v>-136.6</v>
      </c>
      <c r="K24" s="46">
        <f t="shared" si="15"/>
        <v>-1.9749999999999943</v>
      </c>
      <c r="L24" s="114"/>
      <c r="N24" s="84" t="s">
        <v>180</v>
      </c>
      <c r="O24" s="145">
        <f>J32</f>
        <v>728.5</v>
      </c>
      <c r="X24" s="35" t="s">
        <v>112</v>
      </c>
      <c r="Y24" s="143">
        <f>Y22*Y20</f>
        <v>18488.491123012696</v>
      </c>
      <c r="Z24" s="121">
        <f>Z22*Y20</f>
        <v>18941.508876987307</v>
      </c>
    </row>
    <row r="25" spans="2:26" ht="14.25" customHeight="1">
      <c r="B25" s="51" t="s">
        <v>118</v>
      </c>
      <c r="C25" s="52">
        <f>C26+C27</f>
        <v>15</v>
      </c>
      <c r="D25" s="52" t="s">
        <v>119</v>
      </c>
      <c r="E25" s="52"/>
      <c r="H25" s="128" t="s">
        <v>113</v>
      </c>
      <c r="I25" s="129">
        <f>SUM(I19:I24) +I23</f>
        <v>8930.7749999999996</v>
      </c>
      <c r="J25" s="129">
        <f>SUM(J19:J24) + J23</f>
        <v>8892.4</v>
      </c>
      <c r="K25" s="129">
        <f>SUM(K19:K24)</f>
        <v>-38.374999999999631</v>
      </c>
      <c r="L25" s="130"/>
      <c r="N25" s="86" t="s">
        <v>181</v>
      </c>
      <c r="O25" s="146">
        <f>P16</f>
        <v>0</v>
      </c>
      <c r="X25" s="35"/>
      <c r="Y25" s="35"/>
      <c r="Z25" s="35"/>
    </row>
    <row r="26" spans="2:26" ht="14.25" customHeight="1">
      <c r="B26" s="27" t="s">
        <v>182</v>
      </c>
      <c r="C26" s="27">
        <f>'Période 1'!C25</f>
        <v>8</v>
      </c>
      <c r="D26" s="27"/>
      <c r="E26" s="27"/>
      <c r="H26" s="27"/>
      <c r="I26" s="131"/>
      <c r="J26" s="131"/>
      <c r="K26" s="131"/>
      <c r="L26" s="114"/>
      <c r="N26" s="84" t="s">
        <v>183</v>
      </c>
      <c r="O26" s="145">
        <f>'Période 1'!V14</f>
        <v>2685.9</v>
      </c>
      <c r="X26" s="34" t="s">
        <v>117</v>
      </c>
      <c r="Y26" s="35"/>
      <c r="Z26" s="35"/>
    </row>
    <row r="27" spans="2:26" ht="14.25" customHeight="1">
      <c r="B27" s="27" t="s">
        <v>184</v>
      </c>
      <c r="C27" s="27">
        <v>7</v>
      </c>
      <c r="D27" s="27"/>
      <c r="E27" s="27" t="s">
        <v>185</v>
      </c>
      <c r="H27" s="317" t="s">
        <v>120</v>
      </c>
      <c r="I27" s="300"/>
      <c r="J27" s="300"/>
      <c r="K27" s="300"/>
      <c r="L27" s="301"/>
      <c r="N27" s="86" t="s">
        <v>186</v>
      </c>
      <c r="O27" s="146">
        <f>P8</f>
        <v>0</v>
      </c>
      <c r="X27" s="35" t="s">
        <v>40</v>
      </c>
      <c r="Y27" s="35"/>
      <c r="Z27" s="35"/>
    </row>
    <row r="28" spans="2:26" ht="14.25" customHeight="1">
      <c r="B28" s="27" t="s">
        <v>122</v>
      </c>
      <c r="C28" s="27">
        <v>200</v>
      </c>
      <c r="D28" s="27" t="s">
        <v>123</v>
      </c>
      <c r="E28" s="27"/>
      <c r="H28" s="27" t="s">
        <v>124</v>
      </c>
      <c r="I28" s="46">
        <v>0</v>
      </c>
      <c r="J28" s="46">
        <v>0</v>
      </c>
      <c r="K28" s="46">
        <f t="shared" ref="K28:K29" si="17">J28-I28</f>
        <v>0</v>
      </c>
      <c r="L28" s="114"/>
      <c r="N28" s="84" t="s">
        <v>187</v>
      </c>
      <c r="O28" s="145">
        <f>O26+O27</f>
        <v>2685.9</v>
      </c>
      <c r="X28" s="35" t="s">
        <v>126</v>
      </c>
      <c r="Y28" s="35"/>
      <c r="Z28" s="35"/>
    </row>
    <row r="29" spans="2:26" ht="14.25" customHeight="1">
      <c r="B29" s="52" t="s">
        <v>127</v>
      </c>
      <c r="C29" s="52">
        <v>11.17</v>
      </c>
      <c r="D29" s="52" t="s">
        <v>18</v>
      </c>
      <c r="E29" s="52" t="s">
        <v>128</v>
      </c>
      <c r="H29" s="5" t="s">
        <v>129</v>
      </c>
      <c r="I29" s="36">
        <f>I25-I16</f>
        <v>867.67299999999977</v>
      </c>
      <c r="J29" s="36">
        <v>1092.7</v>
      </c>
      <c r="K29" s="36">
        <f t="shared" si="17"/>
        <v>225.02700000000027</v>
      </c>
      <c r="L29" s="5"/>
      <c r="N29" s="86" t="s">
        <v>188</v>
      </c>
      <c r="O29" s="88">
        <f t="shared" ref="O29:O30" si="18">O24/O28</f>
        <v>0.27123124464797649</v>
      </c>
      <c r="X29" s="35" t="s">
        <v>101</v>
      </c>
      <c r="Y29" s="35"/>
      <c r="Z29" s="35"/>
    </row>
    <row r="30" spans="2:26" ht="14.25" customHeight="1">
      <c r="B30" s="27" t="s">
        <v>131</v>
      </c>
      <c r="C30" s="27">
        <f>C36/C25</f>
        <v>10</v>
      </c>
      <c r="D30" s="27" t="s">
        <v>119</v>
      </c>
      <c r="E30" s="27"/>
      <c r="H30" s="27" t="s">
        <v>132</v>
      </c>
      <c r="I30" s="46">
        <f>33.33%*I29</f>
        <v>289.1954108999999</v>
      </c>
      <c r="J30" s="46">
        <f>J29-J32</f>
        <v>364.20000000000005</v>
      </c>
      <c r="K30" s="46"/>
      <c r="L30" s="147">
        <v>0.33329999999999999</v>
      </c>
      <c r="N30" s="84" t="s">
        <v>189</v>
      </c>
      <c r="O30" s="89">
        <f t="shared" si="18"/>
        <v>0</v>
      </c>
      <c r="X30" s="35" t="s">
        <v>133</v>
      </c>
      <c r="Y30" s="35"/>
      <c r="Z30" s="35"/>
    </row>
    <row r="31" spans="2:26" ht="14.25" customHeight="1">
      <c r="B31" s="51" t="s">
        <v>190</v>
      </c>
      <c r="C31" s="52">
        <f>C25*200</f>
        <v>3000</v>
      </c>
      <c r="D31" s="148" t="s">
        <v>8</v>
      </c>
      <c r="E31" s="52"/>
      <c r="H31" s="128"/>
      <c r="I31" s="129"/>
      <c r="J31" s="129"/>
      <c r="K31" s="129"/>
      <c r="L31" s="130"/>
      <c r="X31" s="149"/>
      <c r="Y31" s="149"/>
      <c r="Z31" s="149"/>
    </row>
    <row r="32" spans="2:26" ht="14.25" customHeight="1">
      <c r="B32" s="52" t="s">
        <v>191</v>
      </c>
      <c r="C32" s="52">
        <f>PASTOUCHER!N7</f>
        <v>2840</v>
      </c>
      <c r="D32" s="52" t="s">
        <v>8</v>
      </c>
      <c r="E32" s="52"/>
      <c r="H32" s="128" t="s">
        <v>135</v>
      </c>
      <c r="I32" s="129">
        <f>I29-I30</f>
        <v>578.47758909999993</v>
      </c>
      <c r="J32" s="129">
        <v>728.5</v>
      </c>
      <c r="K32" s="129">
        <f>J32-I32</f>
        <v>150.02241090000007</v>
      </c>
      <c r="L32" s="130"/>
      <c r="X32" s="149"/>
      <c r="Y32" s="149"/>
      <c r="Z32" s="149"/>
    </row>
    <row r="33" spans="2:26" ht="14.25" customHeight="1">
      <c r="B33" s="27" t="s">
        <v>192</v>
      </c>
      <c r="C33" s="28">
        <f>C29*C25*C30/10</f>
        <v>167.55</v>
      </c>
      <c r="D33" s="27" t="s">
        <v>18</v>
      </c>
      <c r="E33" s="27"/>
      <c r="X33" s="149"/>
      <c r="Y33" s="149"/>
      <c r="Z33" s="149"/>
    </row>
    <row r="34" spans="2:26" ht="14.25" customHeight="1">
      <c r="B34" s="91"/>
      <c r="C34" s="92"/>
      <c r="D34" s="93"/>
      <c r="E34" s="94"/>
      <c r="X34" s="149"/>
      <c r="Y34" s="149"/>
      <c r="Z34" s="149"/>
    </row>
    <row r="35" spans="2:26" ht="14.25" customHeight="1">
      <c r="B35" s="308" t="s">
        <v>138</v>
      </c>
      <c r="C35" s="300"/>
      <c r="D35" s="300"/>
      <c r="E35" s="301"/>
      <c r="X35" s="149"/>
      <c r="Y35" s="149"/>
      <c r="Z35" s="149"/>
    </row>
    <row r="36" spans="2:26" ht="14.25" customHeight="1">
      <c r="B36" s="51" t="s">
        <v>139</v>
      </c>
      <c r="C36" s="52">
        <f>C37+C38</f>
        <v>150</v>
      </c>
      <c r="D36" s="52" t="s">
        <v>119</v>
      </c>
      <c r="E36" s="52"/>
      <c r="X36" s="149"/>
      <c r="Y36" s="149"/>
      <c r="Z36" s="149"/>
    </row>
    <row r="37" spans="2:26" ht="14.25" customHeight="1">
      <c r="B37" s="27" t="s">
        <v>193</v>
      </c>
      <c r="C37" s="27">
        <f>'Période 1'!C33</f>
        <v>80</v>
      </c>
      <c r="D37" s="27"/>
      <c r="E37" s="27"/>
      <c r="X37" s="149"/>
      <c r="Y37" s="149"/>
      <c r="Z37" s="149"/>
    </row>
    <row r="38" spans="2:26" ht="14.25" customHeight="1">
      <c r="B38" s="27" t="s">
        <v>194</v>
      </c>
      <c r="C38" s="27">
        <v>70</v>
      </c>
      <c r="D38" s="27"/>
      <c r="E38" s="27" t="s">
        <v>195</v>
      </c>
      <c r="X38" s="149"/>
      <c r="Y38" s="149"/>
      <c r="Z38" s="149"/>
    </row>
    <row r="39" spans="2:26" ht="14.25" customHeight="1">
      <c r="B39" s="27" t="s">
        <v>140</v>
      </c>
      <c r="C39" s="27">
        <v>21</v>
      </c>
      <c r="D39" s="27" t="s">
        <v>8</v>
      </c>
      <c r="E39" s="27" t="s">
        <v>196</v>
      </c>
      <c r="X39" s="149"/>
      <c r="Y39" s="149"/>
      <c r="Z39" s="149"/>
    </row>
    <row r="40" spans="2:26" ht="14.25" customHeight="1">
      <c r="B40" s="52" t="s">
        <v>141</v>
      </c>
      <c r="C40" s="52">
        <f>C39*C38*0.1</f>
        <v>147</v>
      </c>
      <c r="D40" s="52" t="s">
        <v>8</v>
      </c>
      <c r="E40" s="52" t="s">
        <v>142</v>
      </c>
      <c r="X40" s="149"/>
      <c r="Y40" s="149"/>
      <c r="Z40" s="149"/>
    </row>
    <row r="41" spans="2:26" ht="14.25" customHeight="1">
      <c r="B41" s="27" t="s">
        <v>197</v>
      </c>
      <c r="C41" s="27">
        <f>C39*C36</f>
        <v>3150</v>
      </c>
      <c r="D41" s="27" t="s">
        <v>8</v>
      </c>
      <c r="E41" s="27"/>
      <c r="X41" s="149"/>
      <c r="Y41" s="149"/>
      <c r="Z41" s="149"/>
    </row>
    <row r="42" spans="2:26" ht="15" customHeight="1">
      <c r="B42" s="55" t="s">
        <v>198</v>
      </c>
      <c r="C42" s="55">
        <v>13</v>
      </c>
      <c r="D42" s="55" t="s">
        <v>119</v>
      </c>
      <c r="E42" s="309" t="s">
        <v>199</v>
      </c>
      <c r="X42" s="149"/>
      <c r="Y42" s="149"/>
      <c r="Z42" s="149"/>
    </row>
    <row r="43" spans="2:26" ht="14.25" customHeight="1">
      <c r="B43" s="59" t="s">
        <v>200</v>
      </c>
      <c r="C43" s="59">
        <v>5</v>
      </c>
      <c r="D43" s="59" t="s">
        <v>119</v>
      </c>
      <c r="E43" s="310"/>
      <c r="X43" s="149"/>
      <c r="Y43" s="149"/>
      <c r="Z43" s="149"/>
    </row>
    <row r="44" spans="2:26" ht="14.25" customHeight="1">
      <c r="B44" s="55" t="s">
        <v>201</v>
      </c>
      <c r="C44" s="55">
        <v>0</v>
      </c>
      <c r="D44" s="55" t="s">
        <v>202</v>
      </c>
      <c r="E44" s="52"/>
      <c r="X44" s="149"/>
      <c r="Y44" s="149"/>
      <c r="Z44" s="149"/>
    </row>
    <row r="45" spans="2:26" ht="14.25" customHeight="1">
      <c r="B45" s="59" t="s">
        <v>203</v>
      </c>
      <c r="C45" s="59">
        <v>6</v>
      </c>
      <c r="D45" s="59" t="s">
        <v>119</v>
      </c>
      <c r="E45" s="52"/>
      <c r="X45" s="149"/>
      <c r="Y45" s="149"/>
      <c r="Z45" s="149"/>
    </row>
    <row r="46" spans="2:26" ht="14.25" customHeight="1">
      <c r="B46" s="52" t="s">
        <v>147</v>
      </c>
      <c r="C46" s="52">
        <v>6</v>
      </c>
      <c r="D46" s="52" t="s">
        <v>148</v>
      </c>
      <c r="E46" s="52" t="s">
        <v>149</v>
      </c>
      <c r="X46" s="149"/>
      <c r="Y46" s="149"/>
      <c r="Z46" s="149"/>
    </row>
    <row r="47" spans="2:26" ht="14.25" customHeight="1">
      <c r="B47" s="27" t="s">
        <v>150</v>
      </c>
      <c r="C47" s="27">
        <f>C39</f>
        <v>21</v>
      </c>
      <c r="D47" s="95" t="s">
        <v>8</v>
      </c>
      <c r="E47" s="27"/>
      <c r="X47" s="149"/>
      <c r="Y47" s="149"/>
      <c r="Z47" s="149"/>
    </row>
    <row r="48" spans="2:26" ht="14.25" customHeight="1">
      <c r="B48" s="45" t="s">
        <v>151</v>
      </c>
      <c r="C48" s="45">
        <f>0.2*C39*(C44+C45)</f>
        <v>25.200000000000003</v>
      </c>
      <c r="D48" s="95" t="s">
        <v>8</v>
      </c>
      <c r="E48" s="45" t="s">
        <v>152</v>
      </c>
      <c r="X48" s="149"/>
      <c r="Y48" s="149"/>
      <c r="Z48" s="149"/>
    </row>
    <row r="49" spans="2:26" ht="14.25" customHeight="1">
      <c r="B49" s="91"/>
      <c r="C49" s="93"/>
      <c r="D49" s="93"/>
      <c r="E49" s="94"/>
      <c r="X49" s="149"/>
      <c r="Y49" s="149"/>
      <c r="Z49" s="149"/>
    </row>
    <row r="50" spans="2:26" ht="14.25" customHeight="1">
      <c r="B50" s="312" t="s">
        <v>153</v>
      </c>
      <c r="C50" s="313"/>
      <c r="D50" s="313"/>
      <c r="E50" s="314"/>
      <c r="X50" s="149"/>
      <c r="Y50" s="149"/>
      <c r="Z50" s="149"/>
    </row>
    <row r="51" spans="2:26" ht="17.25" customHeight="1">
      <c r="B51" s="96" t="s">
        <v>154</v>
      </c>
      <c r="C51" s="97">
        <v>75</v>
      </c>
      <c r="D51" s="97" t="s">
        <v>8</v>
      </c>
      <c r="E51" s="98" t="s">
        <v>155</v>
      </c>
      <c r="X51" s="149"/>
      <c r="Y51" s="149"/>
      <c r="Z51" s="149"/>
    </row>
    <row r="52" spans="2:26" ht="14.25" customHeight="1">
      <c r="B52" s="15" t="s">
        <v>156</v>
      </c>
      <c r="C52" s="3">
        <v>200</v>
      </c>
      <c r="D52" s="3" t="s">
        <v>8</v>
      </c>
      <c r="E52" s="4"/>
      <c r="X52" s="149"/>
      <c r="Y52" s="149"/>
      <c r="Z52" s="149"/>
    </row>
    <row r="53" spans="2:26" ht="36" customHeight="1">
      <c r="B53" s="99" t="s">
        <v>157</v>
      </c>
      <c r="C53" s="100">
        <v>150</v>
      </c>
      <c r="D53" s="100" t="s">
        <v>8</v>
      </c>
      <c r="E53" s="101" t="s">
        <v>158</v>
      </c>
      <c r="X53" s="149"/>
      <c r="Y53" s="149"/>
      <c r="Z53" s="149"/>
    </row>
    <row r="54" spans="2:26" ht="14.25" customHeight="1">
      <c r="B54" s="102"/>
      <c r="C54" s="103"/>
      <c r="D54" s="103"/>
      <c r="E54" s="104"/>
      <c r="X54" s="149"/>
      <c r="Y54" s="149"/>
      <c r="Z54" s="149"/>
    </row>
    <row r="55" spans="2:26" ht="14.25" customHeight="1">
      <c r="B55" s="105"/>
      <c r="C55" s="106"/>
      <c r="D55" s="106"/>
      <c r="E55" s="107"/>
      <c r="X55" s="149"/>
      <c r="Y55" s="149"/>
      <c r="Z55" s="149"/>
    </row>
    <row r="56" spans="2:26" ht="14.25" customHeight="1">
      <c r="X56" s="149"/>
      <c r="Y56" s="149"/>
      <c r="Z56" s="149"/>
    </row>
    <row r="57" spans="2:26" ht="14.25" customHeight="1"/>
    <row r="58" spans="2:26" ht="14.25" customHeight="1"/>
    <row r="59" spans="2:26" ht="14.25" customHeight="1"/>
    <row r="60" spans="2:26" ht="14.25" customHeight="1"/>
    <row r="61" spans="2:26" ht="14.25" customHeight="1"/>
    <row r="62" spans="2:26" ht="14.25" customHeight="1"/>
    <row r="63" spans="2:26" ht="14.25" customHeight="1"/>
    <row r="64" spans="2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13">
    <mergeCell ref="E42:E43"/>
    <mergeCell ref="B50:E50"/>
    <mergeCell ref="B23:E23"/>
    <mergeCell ref="B4:E4"/>
    <mergeCell ref="E10:E11"/>
    <mergeCell ref="H18:L18"/>
    <mergeCell ref="H27:L27"/>
    <mergeCell ref="B35:E35"/>
    <mergeCell ref="N23:O23"/>
    <mergeCell ref="X3:Z3"/>
    <mergeCell ref="H1:K1"/>
    <mergeCell ref="N1:Q1"/>
    <mergeCell ref="S3:V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1012"/>
  <sheetViews>
    <sheetView topLeftCell="I9" workbookViewId="0">
      <selection activeCell="Y8" sqref="Y8:AA8"/>
    </sheetView>
  </sheetViews>
  <sheetFormatPr baseColWidth="10" defaultColWidth="14.44140625" defaultRowHeight="15" customHeight="1"/>
  <cols>
    <col min="1" max="1" width="10.6640625" customWidth="1"/>
    <col min="2" max="2" width="37" customWidth="1"/>
    <col min="3" max="3" width="11.33203125" customWidth="1"/>
    <col min="4" max="4" width="10.6640625" customWidth="1"/>
    <col min="5" max="5" width="53.44140625" customWidth="1"/>
    <col min="6" max="6" width="5.33203125" customWidth="1"/>
    <col min="7" max="7" width="5.5546875" customWidth="1"/>
    <col min="8" max="8" width="36" customWidth="1"/>
    <col min="9" max="9" width="14.109375" customWidth="1"/>
    <col min="10" max="10" width="13" customWidth="1"/>
    <col min="11" max="11" width="13.5546875" customWidth="1"/>
    <col min="12" max="12" width="29" customWidth="1"/>
    <col min="13" max="13" width="5.6640625" customWidth="1"/>
    <col min="14" max="14" width="34.6640625" customWidth="1"/>
    <col min="15" max="15" width="14.21875" customWidth="1"/>
    <col min="16" max="16" width="13" customWidth="1"/>
    <col min="17" max="17" width="13.77734375" customWidth="1"/>
    <col min="18" max="18" width="5.6640625" customWidth="1"/>
    <col min="19" max="19" width="24.33203125" customWidth="1"/>
    <col min="20" max="20" width="26.44140625" customWidth="1"/>
    <col min="21" max="22" width="10.6640625" customWidth="1"/>
    <col min="23" max="23" width="5.44140625" customWidth="1"/>
    <col min="24" max="24" width="33.109375" customWidth="1"/>
    <col min="25" max="25" width="13" customWidth="1"/>
    <col min="26" max="26" width="17.88671875" customWidth="1"/>
    <col min="27" max="27" width="13" customWidth="1"/>
  </cols>
  <sheetData>
    <row r="1" spans="2:27" ht="14.25" customHeight="1">
      <c r="B1" s="19" t="s">
        <v>17</v>
      </c>
      <c r="C1" s="19">
        <v>0</v>
      </c>
      <c r="D1" s="19" t="s">
        <v>18</v>
      </c>
      <c r="E1" s="20"/>
      <c r="H1" s="315" t="s">
        <v>19</v>
      </c>
      <c r="I1" s="300"/>
      <c r="J1" s="300"/>
      <c r="K1" s="301"/>
      <c r="L1" s="21"/>
      <c r="N1" s="316" t="s">
        <v>20</v>
      </c>
      <c r="O1" s="300"/>
      <c r="P1" s="300"/>
      <c r="Q1" s="301"/>
    </row>
    <row r="2" spans="2:27" ht="14.25" customHeight="1">
      <c r="B2" s="108"/>
      <c r="C2" s="108"/>
      <c r="D2" s="108"/>
      <c r="E2" s="108"/>
      <c r="H2" s="5"/>
      <c r="I2" s="5" t="s">
        <v>22</v>
      </c>
      <c r="J2" s="5" t="s">
        <v>23</v>
      </c>
      <c r="K2" s="5" t="s">
        <v>24</v>
      </c>
      <c r="L2" s="5"/>
      <c r="N2" s="21"/>
      <c r="O2" s="21" t="s">
        <v>22</v>
      </c>
      <c r="P2" s="21" t="s">
        <v>23</v>
      </c>
      <c r="Q2" s="21" t="s">
        <v>24</v>
      </c>
    </row>
    <row r="3" spans="2:27" ht="14.25" customHeight="1">
      <c r="H3" s="109" t="s">
        <v>27</v>
      </c>
      <c r="I3" s="110"/>
      <c r="J3" s="110"/>
      <c r="K3" s="110">
        <v>5.4</v>
      </c>
      <c r="L3" s="111" t="s">
        <v>159</v>
      </c>
      <c r="N3" s="29" t="s">
        <v>28</v>
      </c>
      <c r="O3" s="30">
        <v>556.9</v>
      </c>
      <c r="P3" s="30">
        <v>556.9</v>
      </c>
      <c r="Q3" s="30">
        <f>-O3+P3</f>
        <v>0</v>
      </c>
      <c r="S3" s="307" t="s">
        <v>21</v>
      </c>
      <c r="T3" s="300"/>
      <c r="U3" s="300"/>
      <c r="V3" s="301"/>
      <c r="X3" s="315" t="s">
        <v>26</v>
      </c>
      <c r="Y3" s="300"/>
      <c r="Z3" s="300"/>
      <c r="AA3" s="301"/>
    </row>
    <row r="4" spans="2:27" ht="14.25" customHeight="1">
      <c r="B4" s="308" t="s">
        <v>30</v>
      </c>
      <c r="C4" s="300"/>
      <c r="D4" s="300"/>
      <c r="E4" s="301"/>
      <c r="H4" s="5" t="s">
        <v>31</v>
      </c>
      <c r="I4" s="36">
        <f>$K$3*C5</f>
        <v>1593</v>
      </c>
      <c r="J4" s="36">
        <v>1593</v>
      </c>
      <c r="K4" s="36">
        <f t="shared" ref="K4:K16" si="0">J4-I4</f>
        <v>0</v>
      </c>
      <c r="L4" s="5" t="s">
        <v>204</v>
      </c>
      <c r="N4" s="37"/>
      <c r="O4" s="38"/>
      <c r="P4" s="38"/>
      <c r="Q4" s="39"/>
      <c r="S4" s="112" t="s">
        <v>161</v>
      </c>
      <c r="T4" s="113"/>
      <c r="U4" s="113"/>
      <c r="V4" s="113"/>
      <c r="X4" s="150" t="s">
        <v>29</v>
      </c>
      <c r="Y4" s="151" t="s">
        <v>205</v>
      </c>
      <c r="Z4" s="152" t="s">
        <v>93</v>
      </c>
      <c r="AA4" s="153" t="s">
        <v>94</v>
      </c>
    </row>
    <row r="5" spans="2:27" ht="14.25" customHeight="1">
      <c r="B5" s="44" t="s">
        <v>35</v>
      </c>
      <c r="C5" s="45">
        <v>295</v>
      </c>
      <c r="D5" s="45" t="s">
        <v>18</v>
      </c>
      <c r="E5" s="45"/>
      <c r="H5" s="27" t="s">
        <v>36</v>
      </c>
      <c r="I5" s="46">
        <f>C47</f>
        <v>5850</v>
      </c>
      <c r="J5" s="46">
        <v>5850</v>
      </c>
      <c r="K5" s="46">
        <f t="shared" si="0"/>
        <v>0</v>
      </c>
      <c r="L5" s="114" t="s">
        <v>37</v>
      </c>
      <c r="N5" s="47" t="s">
        <v>38</v>
      </c>
      <c r="O5" s="30">
        <f>'Période 2'!U7  + 7/8 * I22</f>
        <v>16458.825000000001</v>
      </c>
      <c r="P5" s="30">
        <v>15244.4</v>
      </c>
      <c r="Q5" s="30">
        <f t="shared" ref="Q5:Q10" si="1">-O5+P5</f>
        <v>-1214.4250000000011</v>
      </c>
      <c r="S5" s="54" t="s">
        <v>206</v>
      </c>
      <c r="T5" s="39">
        <f>C38-I14</f>
        <v>4200</v>
      </c>
      <c r="U5" s="38">
        <v>4200</v>
      </c>
      <c r="V5" s="38"/>
      <c r="X5" s="154" t="s">
        <v>34</v>
      </c>
      <c r="Y5" s="155">
        <f>J4+J5+J6+J10+J14-J19</f>
        <v>8278.4</v>
      </c>
      <c r="Z5" s="138"/>
      <c r="AA5" s="156"/>
    </row>
    <row r="6" spans="2:27" ht="14.25" customHeight="1">
      <c r="B6" s="115" t="s">
        <v>41</v>
      </c>
      <c r="C6" s="116">
        <f>C7+C8+C9</f>
        <v>5</v>
      </c>
      <c r="D6" s="116"/>
      <c r="E6" s="116"/>
      <c r="H6" s="5" t="s">
        <v>42</v>
      </c>
      <c r="I6" s="36">
        <v>0</v>
      </c>
      <c r="J6" s="36">
        <v>0</v>
      </c>
      <c r="K6" s="53">
        <f t="shared" si="0"/>
        <v>0</v>
      </c>
      <c r="L6" s="5"/>
      <c r="N6" s="54" t="s">
        <v>43</v>
      </c>
      <c r="O6" s="39">
        <f>0.05*MAX(0,'Période 2'!P20) - C5</f>
        <v>-267.15499999999997</v>
      </c>
      <c r="P6" s="38">
        <v>-254.2</v>
      </c>
      <c r="Q6" s="39">
        <f t="shared" si="1"/>
        <v>12.954999999999984</v>
      </c>
      <c r="S6" s="113" t="s">
        <v>39</v>
      </c>
      <c r="T6" s="117">
        <f>I20</f>
        <v>0</v>
      </c>
      <c r="U6" s="117">
        <v>614.6</v>
      </c>
      <c r="V6" s="117"/>
      <c r="X6" s="154" t="s">
        <v>40</v>
      </c>
      <c r="Y6" s="332">
        <f>4.6+C5</f>
        <v>299.60000000000002</v>
      </c>
      <c r="Z6" s="138"/>
      <c r="AA6" s="156"/>
    </row>
    <row r="7" spans="2:27" ht="14.25" customHeight="1">
      <c r="B7" s="55" t="s">
        <v>46</v>
      </c>
      <c r="C7" s="55">
        <f t="shared" ref="C7:C9" si="2">(C48+C51)*0.2</f>
        <v>3</v>
      </c>
      <c r="D7" s="55" t="s">
        <v>18</v>
      </c>
      <c r="E7" s="27" t="s">
        <v>207</v>
      </c>
      <c r="H7" s="27" t="s">
        <v>47</v>
      </c>
      <c r="I7" s="46">
        <f>SUM(C48:C53)*C55+C54*0.01*C22</f>
        <v>1644.71</v>
      </c>
      <c r="J7" s="46">
        <v>1558.7</v>
      </c>
      <c r="K7" s="46">
        <f t="shared" si="0"/>
        <v>-86.009999999999991</v>
      </c>
      <c r="L7" s="114"/>
      <c r="N7" s="47" t="s">
        <v>49</v>
      </c>
      <c r="O7" s="30">
        <f>PASTOUCHER!O11</f>
        <v>448</v>
      </c>
      <c r="P7" s="30">
        <v>448</v>
      </c>
      <c r="Q7" s="30">
        <f t="shared" si="1"/>
        <v>0</v>
      </c>
      <c r="S7" s="54" t="s">
        <v>44</v>
      </c>
      <c r="T7" s="38">
        <f>1/8*I22</f>
        <v>2181.875</v>
      </c>
      <c r="U7" s="38">
        <v>2008.4</v>
      </c>
      <c r="V7" s="38"/>
      <c r="X7" s="154" t="s">
        <v>45</v>
      </c>
      <c r="Y7" s="158">
        <f>Y5/Y6</f>
        <v>27.631508678237648</v>
      </c>
      <c r="Z7" s="138"/>
      <c r="AA7" s="156"/>
    </row>
    <row r="8" spans="2:27" ht="14.25" customHeight="1">
      <c r="B8" s="59" t="s">
        <v>51</v>
      </c>
      <c r="C8" s="59">
        <f t="shared" si="2"/>
        <v>1.8</v>
      </c>
      <c r="D8" s="59" t="s">
        <v>18</v>
      </c>
      <c r="E8" s="27" t="s">
        <v>208</v>
      </c>
      <c r="H8" s="5" t="s">
        <v>52</v>
      </c>
      <c r="I8" s="36">
        <f>0.05*C22</f>
        <v>872.75</v>
      </c>
      <c r="J8" s="36">
        <v>803.4</v>
      </c>
      <c r="K8" s="53">
        <f t="shared" si="0"/>
        <v>-69.350000000000023</v>
      </c>
      <c r="L8" s="5" t="s">
        <v>53</v>
      </c>
      <c r="N8" s="54" t="s">
        <v>209</v>
      </c>
      <c r="O8" s="38">
        <v>0</v>
      </c>
      <c r="P8" s="38">
        <v>0</v>
      </c>
      <c r="Q8" s="39">
        <f t="shared" si="1"/>
        <v>0</v>
      </c>
      <c r="S8" s="113" t="s">
        <v>50</v>
      </c>
      <c r="T8" s="117">
        <f>O20</f>
        <v>1638.4387185000051</v>
      </c>
      <c r="U8" s="117">
        <v>817.2</v>
      </c>
      <c r="V8" s="117"/>
      <c r="X8" s="154" t="s">
        <v>163</v>
      </c>
      <c r="Y8" s="333">
        <v>3.6</v>
      </c>
      <c r="Z8" s="334">
        <v>171.7</v>
      </c>
      <c r="AA8" s="335">
        <v>99.3</v>
      </c>
    </row>
    <row r="9" spans="2:27" ht="14.25" customHeight="1">
      <c r="B9" s="159" t="s">
        <v>210</v>
      </c>
      <c r="C9" s="159">
        <f t="shared" si="2"/>
        <v>0.2</v>
      </c>
      <c r="D9" s="159" t="s">
        <v>18</v>
      </c>
      <c r="E9" s="160"/>
      <c r="H9" s="27" t="s">
        <v>58</v>
      </c>
      <c r="I9" s="46">
        <f>'Période 2'!J9+(C11+C12)/2*0.01*I19/2</f>
        <v>43.98</v>
      </c>
      <c r="J9" s="62">
        <v>30.7</v>
      </c>
      <c r="K9" s="46">
        <f t="shared" si="0"/>
        <v>-13.279999999999998</v>
      </c>
      <c r="L9" s="114" t="s">
        <v>164</v>
      </c>
      <c r="N9" s="47" t="s">
        <v>59</v>
      </c>
      <c r="O9" s="30">
        <f>C68</f>
        <v>1620</v>
      </c>
      <c r="P9" s="30">
        <v>1700</v>
      </c>
      <c r="Q9" s="30">
        <f t="shared" si="1"/>
        <v>80</v>
      </c>
      <c r="S9" s="77" t="s">
        <v>55</v>
      </c>
      <c r="T9" s="38">
        <f t="shared" ref="T9:U9" si="3">SUM(T5:T8)</f>
        <v>8020.3137185000051</v>
      </c>
      <c r="U9" s="38">
        <f t="shared" si="3"/>
        <v>7640.2</v>
      </c>
      <c r="V9" s="38"/>
      <c r="X9" s="154" t="s">
        <v>165</v>
      </c>
      <c r="Y9" s="161">
        <f>Y8*Y7</f>
        <v>99.473431241655533</v>
      </c>
      <c r="Z9" s="162">
        <f>Z8*Y7</f>
        <v>4744.3300400534035</v>
      </c>
      <c r="AA9" s="163">
        <f>AA8*Y7</f>
        <v>2743.8088117489983</v>
      </c>
    </row>
    <row r="10" spans="2:27" ht="14.25" customHeight="1">
      <c r="B10" s="61" t="s">
        <v>57</v>
      </c>
      <c r="C10" s="45"/>
      <c r="D10" s="45"/>
      <c r="E10" s="45"/>
      <c r="H10" s="5" t="s">
        <v>62</v>
      </c>
      <c r="I10" s="36">
        <f>30*C30+C61</f>
        <v>950</v>
      </c>
      <c r="J10" s="36">
        <v>950</v>
      </c>
      <c r="K10" s="53">
        <f t="shared" si="0"/>
        <v>0</v>
      </c>
      <c r="L10" s="5" t="s">
        <v>63</v>
      </c>
      <c r="N10" s="65" t="s">
        <v>64</v>
      </c>
      <c r="O10" s="66">
        <f>SUM(O3:O9)</f>
        <v>18816.570000000003</v>
      </c>
      <c r="P10" s="66">
        <f>SUM(P5:P9)</f>
        <v>17138.199999999997</v>
      </c>
      <c r="Q10" s="66">
        <f t="shared" si="1"/>
        <v>-1678.3700000000063</v>
      </c>
      <c r="S10" s="113"/>
      <c r="T10" s="117"/>
      <c r="U10" s="117"/>
      <c r="V10" s="117"/>
      <c r="X10" s="154" t="s">
        <v>60</v>
      </c>
      <c r="Y10" s="161">
        <v>50</v>
      </c>
      <c r="Z10" s="162">
        <v>700</v>
      </c>
      <c r="AA10" s="163">
        <v>600</v>
      </c>
    </row>
    <row r="11" spans="2:27" ht="14.25" customHeight="1">
      <c r="B11" s="55" t="s">
        <v>46</v>
      </c>
      <c r="C11" s="55">
        <v>55</v>
      </c>
      <c r="D11" s="55" t="s">
        <v>8</v>
      </c>
      <c r="E11" s="164" t="s">
        <v>211</v>
      </c>
      <c r="H11" s="27" t="s">
        <v>66</v>
      </c>
      <c r="I11" s="46">
        <f>C60</f>
        <v>400</v>
      </c>
      <c r="J11" s="46">
        <v>400</v>
      </c>
      <c r="K11" s="46">
        <f t="shared" si="0"/>
        <v>0</v>
      </c>
      <c r="L11" s="114"/>
      <c r="N11" s="68"/>
      <c r="O11" s="122"/>
      <c r="P11" s="122"/>
      <c r="Q11" s="30"/>
      <c r="S11" s="123" t="s">
        <v>167</v>
      </c>
      <c r="T11" s="38"/>
      <c r="U11" s="38"/>
      <c r="V11" s="38"/>
      <c r="X11" s="154" t="s">
        <v>65</v>
      </c>
      <c r="Y11" s="161">
        <v>0</v>
      </c>
      <c r="Z11" s="162">
        <f>Z15*C54% + (C48+C51)*C55</f>
        <v>922.99699999999996</v>
      </c>
      <c r="AA11" s="163">
        <f>AA15*C54% +(C49+C52)*C55</f>
        <v>602.67899999999997</v>
      </c>
    </row>
    <row r="12" spans="2:27" ht="14.25" customHeight="1">
      <c r="B12" s="59" t="s">
        <v>51</v>
      </c>
      <c r="C12" s="59">
        <v>65</v>
      </c>
      <c r="D12" s="59" t="s">
        <v>8</v>
      </c>
      <c r="E12" s="164" t="s">
        <v>212</v>
      </c>
      <c r="H12" s="5" t="s">
        <v>70</v>
      </c>
      <c r="I12" s="36">
        <f>'Période 2'!J12 + (0.07* O9)</f>
        <v>168.7</v>
      </c>
      <c r="J12" s="36">
        <v>168.8</v>
      </c>
      <c r="K12" s="53">
        <f t="shared" si="0"/>
        <v>0.10000000000002274</v>
      </c>
      <c r="L12" s="5" t="s">
        <v>71</v>
      </c>
      <c r="N12" s="54" t="s">
        <v>72</v>
      </c>
      <c r="O12" s="38">
        <f>I16 - I14 - 1/6*I4 + 1/6*552</f>
        <v>13033.39</v>
      </c>
      <c r="P12" s="38">
        <v>12930</v>
      </c>
      <c r="Q12" s="39">
        <f t="shared" ref="Q12:Q17" si="4">-O12+P12</f>
        <v>-103.38999999999942</v>
      </c>
      <c r="S12" s="113" t="s">
        <v>67</v>
      </c>
      <c r="T12" s="117">
        <v>2400</v>
      </c>
      <c r="U12" s="117">
        <v>2400</v>
      </c>
      <c r="V12" s="117"/>
      <c r="X12" s="154" t="s">
        <v>68</v>
      </c>
      <c r="Y12" s="161">
        <f t="shared" ref="Y12:AA12" si="5">5%*Y15</f>
        <v>8.4600000000000009</v>
      </c>
      <c r="Z12" s="162">
        <f t="shared" si="5"/>
        <v>472.17500000000001</v>
      </c>
      <c r="AA12" s="163">
        <f t="shared" si="5"/>
        <v>322.72500000000002</v>
      </c>
    </row>
    <row r="13" spans="2:27" ht="14.25" customHeight="1">
      <c r="B13" s="159" t="s">
        <v>210</v>
      </c>
      <c r="C13" s="159">
        <v>47</v>
      </c>
      <c r="D13" s="159" t="s">
        <v>8</v>
      </c>
      <c r="E13" s="160" t="s">
        <v>213</v>
      </c>
      <c r="H13" s="27" t="s">
        <v>75</v>
      </c>
      <c r="I13" s="46">
        <f>C14</f>
        <v>1350</v>
      </c>
      <c r="J13" s="46">
        <v>1350</v>
      </c>
      <c r="K13" s="46">
        <f t="shared" si="0"/>
        <v>0</v>
      </c>
      <c r="L13" s="114"/>
      <c r="N13" s="47" t="s">
        <v>76</v>
      </c>
      <c r="O13" s="30">
        <f>C34*C32</f>
        <v>2800</v>
      </c>
      <c r="P13" s="30">
        <v>2800</v>
      </c>
      <c r="Q13" s="30">
        <f t="shared" si="4"/>
        <v>0</v>
      </c>
      <c r="S13" s="54" t="s">
        <v>73</v>
      </c>
      <c r="T13" s="38">
        <f>I31 + 'Période 2'!U13</f>
        <v>3222.2137185000006</v>
      </c>
      <c r="U13" s="38">
        <v>2812.7</v>
      </c>
      <c r="V13" s="38"/>
      <c r="X13" s="154" t="s">
        <v>74</v>
      </c>
      <c r="Y13" s="161">
        <f t="shared" ref="Y13:AA13" si="6">SUM(Y9:Y12)</f>
        <v>157.93343124165554</v>
      </c>
      <c r="Z13" s="162">
        <f t="shared" si="6"/>
        <v>6839.502040053404</v>
      </c>
      <c r="AA13" s="163">
        <f t="shared" si="6"/>
        <v>4269.2128117489983</v>
      </c>
    </row>
    <row r="14" spans="2:27" ht="14.25" customHeight="1">
      <c r="B14" s="44" t="s">
        <v>69</v>
      </c>
      <c r="C14" s="45">
        <f>C15+C16+C17</f>
        <v>1350</v>
      </c>
      <c r="D14" s="45" t="s">
        <v>8</v>
      </c>
      <c r="E14" s="45"/>
      <c r="H14" s="5" t="s">
        <v>79</v>
      </c>
      <c r="I14" s="36">
        <f>0.1*C37</f>
        <v>500</v>
      </c>
      <c r="J14" s="36">
        <v>500</v>
      </c>
      <c r="K14" s="53">
        <f t="shared" si="0"/>
        <v>0</v>
      </c>
      <c r="L14" s="5" t="s">
        <v>80</v>
      </c>
      <c r="N14" s="54" t="s">
        <v>81</v>
      </c>
      <c r="O14" s="38">
        <f>'Période 2'!P14+10%*O9</f>
        <v>241</v>
      </c>
      <c r="P14" s="38">
        <v>249</v>
      </c>
      <c r="Q14" s="39">
        <f t="shared" si="4"/>
        <v>8</v>
      </c>
      <c r="S14" s="113" t="s">
        <v>77</v>
      </c>
      <c r="T14" s="117">
        <v>0</v>
      </c>
      <c r="U14" s="117">
        <v>0</v>
      </c>
      <c r="V14" s="117"/>
      <c r="X14" s="154" t="s">
        <v>170</v>
      </c>
      <c r="Y14" s="161">
        <f t="shared" ref="Y14:AA14" si="7">Y9/Y8</f>
        <v>27.631508678237648</v>
      </c>
      <c r="Z14" s="162">
        <f t="shared" si="7"/>
        <v>27.631508678237648</v>
      </c>
      <c r="AA14" s="163">
        <f t="shared" si="7"/>
        <v>27.631508678237648</v>
      </c>
    </row>
    <row r="15" spans="2:27" ht="14.25" customHeight="1">
      <c r="B15" s="55" t="s">
        <v>46</v>
      </c>
      <c r="C15" s="55">
        <v>600</v>
      </c>
      <c r="D15" s="55" t="s">
        <v>8</v>
      </c>
      <c r="E15" s="27" t="s">
        <v>214</v>
      </c>
      <c r="H15" s="27" t="s">
        <v>85</v>
      </c>
      <c r="I15" s="46">
        <f>C46+C56+C59</f>
        <v>333.75</v>
      </c>
      <c r="J15" s="46">
        <v>333.8</v>
      </c>
      <c r="K15" s="46">
        <f t="shared" si="0"/>
        <v>5.0000000000011369E-2</v>
      </c>
      <c r="L15" s="114" t="s">
        <v>86</v>
      </c>
      <c r="N15" s="47" t="s">
        <v>87</v>
      </c>
      <c r="O15" s="30">
        <f>33.33%*I29</f>
        <v>1103.7412815</v>
      </c>
      <c r="P15" s="30">
        <v>899</v>
      </c>
      <c r="Q15" s="30">
        <f t="shared" si="4"/>
        <v>-204.74128150000001</v>
      </c>
      <c r="S15" s="123" t="s">
        <v>82</v>
      </c>
      <c r="T15" s="38">
        <f t="shared" ref="T15:U15" si="8">SUM(T12:T14)</f>
        <v>5622.2137185000011</v>
      </c>
      <c r="U15" s="38">
        <f t="shared" si="8"/>
        <v>5212.7</v>
      </c>
      <c r="V15" s="38"/>
      <c r="X15" s="154" t="s">
        <v>78</v>
      </c>
      <c r="Y15" s="161">
        <f>C13*Y8</f>
        <v>169.20000000000002</v>
      </c>
      <c r="Z15" s="162">
        <f>C11*Z8</f>
        <v>9443.5</v>
      </c>
      <c r="AA15" s="163">
        <f>C12*AA8</f>
        <v>6454.5</v>
      </c>
    </row>
    <row r="16" spans="2:27" ht="14.25" customHeight="1">
      <c r="B16" s="59" t="s">
        <v>51</v>
      </c>
      <c r="C16" s="59">
        <v>700</v>
      </c>
      <c r="D16" s="59" t="s">
        <v>8</v>
      </c>
      <c r="E16" s="27" t="s">
        <v>215</v>
      </c>
      <c r="H16" s="128" t="s">
        <v>90</v>
      </c>
      <c r="I16" s="129">
        <f t="shared" ref="I16:J16" si="9">SUM(I4:I15)</f>
        <v>13706.89</v>
      </c>
      <c r="J16" s="129">
        <f t="shared" si="9"/>
        <v>13538.4</v>
      </c>
      <c r="K16" s="129">
        <f t="shared" si="0"/>
        <v>-168.48999999999978</v>
      </c>
      <c r="L16" s="130"/>
      <c r="N16" s="54" t="s">
        <v>91</v>
      </c>
      <c r="O16" s="38">
        <v>0</v>
      </c>
      <c r="P16" s="38">
        <v>0</v>
      </c>
      <c r="Q16" s="39">
        <f t="shared" si="4"/>
        <v>0</v>
      </c>
      <c r="S16" s="113"/>
      <c r="T16" s="117"/>
      <c r="U16" s="117"/>
      <c r="V16" s="117"/>
      <c r="X16" s="154" t="s">
        <v>83</v>
      </c>
      <c r="Y16" s="161">
        <f t="shared" ref="Y16:AA16" si="10">Y15-Y13</f>
        <v>11.266568758344476</v>
      </c>
      <c r="Z16" s="162">
        <f t="shared" si="10"/>
        <v>2603.997959946596</v>
      </c>
      <c r="AA16" s="163">
        <f t="shared" si="10"/>
        <v>2185.2871882510017</v>
      </c>
    </row>
    <row r="17" spans="2:27" ht="14.25" customHeight="1">
      <c r="B17" s="159" t="s">
        <v>210</v>
      </c>
      <c r="C17" s="159">
        <v>50</v>
      </c>
      <c r="D17" s="159" t="s">
        <v>8</v>
      </c>
      <c r="E17" s="27" t="s">
        <v>216</v>
      </c>
      <c r="H17" s="27"/>
      <c r="I17" s="131"/>
      <c r="J17" s="131"/>
      <c r="K17" s="131"/>
      <c r="L17" s="114"/>
      <c r="N17" s="65" t="s">
        <v>95</v>
      </c>
      <c r="O17" s="66">
        <f t="shared" ref="O17:P17" si="11">SUM(O12:O16)</f>
        <v>17178.131281499998</v>
      </c>
      <c r="P17" s="66">
        <f t="shared" si="11"/>
        <v>16878</v>
      </c>
      <c r="Q17" s="66">
        <f t="shared" si="4"/>
        <v>-300.13128149999829</v>
      </c>
      <c r="S17" s="113"/>
      <c r="T17" s="117"/>
      <c r="U17" s="117"/>
      <c r="V17" s="117"/>
      <c r="X17" s="165" t="s">
        <v>89</v>
      </c>
      <c r="Y17" s="166">
        <f t="shared" ref="Y17:AA17" si="12">Y16/Y8</f>
        <v>3.1296024328734657</v>
      </c>
      <c r="Z17" s="166">
        <f t="shared" si="12"/>
        <v>15.165975305454841</v>
      </c>
      <c r="AA17" s="166">
        <f t="shared" si="12"/>
        <v>22.006920324783501</v>
      </c>
    </row>
    <row r="18" spans="2:27" ht="14.25" customHeight="1">
      <c r="B18" s="115" t="s">
        <v>84</v>
      </c>
      <c r="C18" s="127">
        <f>SUM(C19:C21)</f>
        <v>295</v>
      </c>
      <c r="D18" s="116"/>
      <c r="E18" s="45"/>
      <c r="H18" s="317" t="s">
        <v>98</v>
      </c>
      <c r="I18" s="300"/>
      <c r="J18" s="300"/>
      <c r="K18" s="300"/>
      <c r="L18" s="301"/>
      <c r="N18" s="77"/>
      <c r="O18" s="135"/>
      <c r="P18" s="135"/>
      <c r="Q18" s="39"/>
      <c r="S18" s="113"/>
      <c r="T18" s="117"/>
      <c r="U18" s="117"/>
      <c r="V18" s="117"/>
      <c r="X18" s="167"/>
      <c r="Y18" s="156"/>
      <c r="Z18" s="156"/>
      <c r="AA18" s="156"/>
    </row>
    <row r="19" spans="2:27" ht="14.25" customHeight="1">
      <c r="B19" s="55" t="s">
        <v>46</v>
      </c>
      <c r="C19" s="73">
        <v>145</v>
      </c>
      <c r="D19" s="55" t="s">
        <v>18</v>
      </c>
      <c r="E19" s="27" t="s">
        <v>217</v>
      </c>
      <c r="H19" s="27" t="s">
        <v>173</v>
      </c>
      <c r="I19" s="46">
        <f>I20-'Période 2'!J19</f>
        <v>125.6</v>
      </c>
      <c r="J19" s="46">
        <v>614.6</v>
      </c>
      <c r="K19" s="46">
        <f t="shared" ref="K19:K20" si="13">J19-I19</f>
        <v>489</v>
      </c>
      <c r="L19" s="114" t="s">
        <v>218</v>
      </c>
      <c r="N19" s="137"/>
      <c r="O19" s="136"/>
      <c r="P19" s="136"/>
      <c r="Q19" s="136"/>
      <c r="S19" s="113" t="s">
        <v>88</v>
      </c>
      <c r="T19" s="117">
        <f>C68 + 'Période 2'!T19 - O14</f>
        <v>2090</v>
      </c>
      <c r="U19" s="117">
        <v>2162</v>
      </c>
      <c r="V19" s="117"/>
      <c r="X19" s="150" t="s">
        <v>97</v>
      </c>
      <c r="Y19" s="168"/>
      <c r="Z19" s="156"/>
      <c r="AA19" s="168"/>
    </row>
    <row r="20" spans="2:27" ht="14.25" customHeight="1">
      <c r="B20" s="59" t="s">
        <v>51</v>
      </c>
      <c r="C20" s="76">
        <v>135</v>
      </c>
      <c r="D20" s="59" t="s">
        <v>18</v>
      </c>
      <c r="E20" s="27" t="s">
        <v>219</v>
      </c>
      <c r="H20" s="5" t="s">
        <v>220</v>
      </c>
      <c r="I20" s="36">
        <v>0</v>
      </c>
      <c r="J20" s="36">
        <v>20.399999999999999</v>
      </c>
      <c r="K20" s="36">
        <f t="shared" si="13"/>
        <v>20.399999999999999</v>
      </c>
      <c r="L20" s="5" t="s">
        <v>176</v>
      </c>
      <c r="N20" s="65" t="s">
        <v>103</v>
      </c>
      <c r="O20" s="66">
        <f>O10-O17</f>
        <v>1638.4387185000051</v>
      </c>
      <c r="P20" s="66">
        <f>P10-P17+P3</f>
        <v>817.09999999999707</v>
      </c>
      <c r="Q20" s="66">
        <f>-O20+P20</f>
        <v>-821.33871850000799</v>
      </c>
      <c r="S20" s="54" t="s">
        <v>92</v>
      </c>
      <c r="T20" s="38">
        <f>I4/6</f>
        <v>265.5</v>
      </c>
      <c r="U20" s="38">
        <v>265.5</v>
      </c>
      <c r="V20" s="38"/>
      <c r="X20" s="154" t="s">
        <v>100</v>
      </c>
      <c r="Y20" s="169">
        <f>J9+J11+J12+J15+J24</f>
        <v>679.09999999999991</v>
      </c>
      <c r="Z20" s="138"/>
      <c r="AA20" s="168"/>
    </row>
    <row r="21" spans="2:27" ht="14.25" customHeight="1">
      <c r="B21" s="159" t="s">
        <v>210</v>
      </c>
      <c r="C21" s="159">
        <v>15</v>
      </c>
      <c r="D21" s="159" t="s">
        <v>18</v>
      </c>
      <c r="E21" s="160"/>
      <c r="H21" s="114"/>
      <c r="I21" s="142"/>
      <c r="J21" s="142"/>
      <c r="K21" s="142"/>
      <c r="L21" s="114"/>
      <c r="S21" s="113" t="s">
        <v>96</v>
      </c>
      <c r="T21" s="117">
        <v>0</v>
      </c>
      <c r="U21" s="117">
        <v>0</v>
      </c>
      <c r="V21" s="117"/>
      <c r="X21" s="154" t="s">
        <v>104</v>
      </c>
      <c r="Y21" s="170">
        <f>100*Y8/Y6</f>
        <v>1.2016021361815754</v>
      </c>
      <c r="Z21" s="162">
        <f>100*Z8/Y6</f>
        <v>57.30974632843791</v>
      </c>
      <c r="AA21" s="163">
        <f>100*AA8/Y6</f>
        <v>33.144192256341789</v>
      </c>
    </row>
    <row r="22" spans="2:27" ht="14.25" customHeight="1">
      <c r="B22" s="115" t="s">
        <v>101</v>
      </c>
      <c r="C22" s="134">
        <f>C23+C24+C25</f>
        <v>17455</v>
      </c>
      <c r="D22" s="116" t="s">
        <v>8</v>
      </c>
      <c r="E22" s="45"/>
      <c r="H22" s="114" t="s">
        <v>105</v>
      </c>
      <c r="I22" s="142">
        <f>C22</f>
        <v>17455</v>
      </c>
      <c r="J22" s="142">
        <v>16067.1</v>
      </c>
      <c r="K22" s="142">
        <f t="shared" ref="K22:K24" si="14">J22-I22</f>
        <v>-1387.8999999999996</v>
      </c>
      <c r="L22" s="114" t="s">
        <v>106</v>
      </c>
      <c r="S22" s="77"/>
      <c r="T22" s="38"/>
      <c r="U22" s="38"/>
      <c r="V22" s="38"/>
      <c r="X22" s="154" t="s">
        <v>107</v>
      </c>
      <c r="Y22" s="170">
        <f>100*(Y15/(Y15+AA15+Z15))</f>
        <v>1.0530770762796258</v>
      </c>
      <c r="Z22" s="162">
        <f>100*(Z15/(Z15+AA15+Y15))</f>
        <v>58.775019916351326</v>
      </c>
      <c r="AA22" s="163">
        <f>100*(AA15/(AA15+Z15+Y15))</f>
        <v>40.171903007369046</v>
      </c>
    </row>
    <row r="23" spans="2:27" ht="14.25" customHeight="1">
      <c r="B23" s="55" t="s">
        <v>46</v>
      </c>
      <c r="C23" s="55">
        <f t="shared" ref="C23:C24" si="15">C19*C11</f>
        <v>7975</v>
      </c>
      <c r="D23" s="55" t="s">
        <v>8</v>
      </c>
      <c r="E23" s="27" t="s">
        <v>221</v>
      </c>
      <c r="H23" s="144" t="s">
        <v>178</v>
      </c>
      <c r="I23" s="53">
        <f>-C5</f>
        <v>-295</v>
      </c>
      <c r="J23" s="53">
        <f>-C5</f>
        <v>-295</v>
      </c>
      <c r="K23" s="53">
        <f t="shared" si="14"/>
        <v>0</v>
      </c>
      <c r="L23" s="144" t="s">
        <v>179</v>
      </c>
      <c r="N23" s="311" t="s">
        <v>111</v>
      </c>
      <c r="O23" s="301"/>
      <c r="S23" s="77" t="s">
        <v>99</v>
      </c>
      <c r="T23" s="38">
        <f t="shared" ref="T23:U23" si="16">SUM(T15:T21)</f>
        <v>7977.7137185000011</v>
      </c>
      <c r="U23" s="38">
        <f t="shared" si="16"/>
        <v>7640.2</v>
      </c>
      <c r="V23" s="38"/>
      <c r="X23" s="154" t="s">
        <v>109</v>
      </c>
      <c r="Y23" s="170">
        <f>Y22*Y20</f>
        <v>715.14464250149376</v>
      </c>
      <c r="Z23" s="162">
        <f>Y20*Z21</f>
        <v>38919.048731642179</v>
      </c>
      <c r="AA23" s="163">
        <f>AA22*Y20</f>
        <v>27280.739332304314</v>
      </c>
    </row>
    <row r="24" spans="2:27" ht="14.25" customHeight="1">
      <c r="B24" s="59" t="s">
        <v>51</v>
      </c>
      <c r="C24" s="59">
        <f t="shared" si="15"/>
        <v>8775</v>
      </c>
      <c r="D24" s="59" t="s">
        <v>8</v>
      </c>
      <c r="E24" s="27" t="s">
        <v>222</v>
      </c>
      <c r="H24" s="27" t="s">
        <v>108</v>
      </c>
      <c r="I24" s="46">
        <f>0.05 * 'Période 2'!P20 +I23</f>
        <v>-267.15499999999997</v>
      </c>
      <c r="J24" s="46">
        <v>-254.2</v>
      </c>
      <c r="K24" s="46">
        <f t="shared" si="14"/>
        <v>12.954999999999984</v>
      </c>
      <c r="L24" s="114" t="s">
        <v>223</v>
      </c>
      <c r="N24" s="84" t="s">
        <v>224</v>
      </c>
      <c r="O24" s="85">
        <f>J31</f>
        <v>1798.3</v>
      </c>
      <c r="X24" s="154" t="s">
        <v>112</v>
      </c>
      <c r="Y24" s="170">
        <f>Y22*Y20</f>
        <v>715.14464250149376</v>
      </c>
      <c r="Z24" s="162">
        <f>Z22*Y20</f>
        <v>39914.116025194176</v>
      </c>
      <c r="AA24" s="163">
        <f>AA22*Y20</f>
        <v>27280.739332304314</v>
      </c>
    </row>
    <row r="25" spans="2:27" ht="14.25" customHeight="1">
      <c r="B25" s="159" t="s">
        <v>210</v>
      </c>
      <c r="C25" s="159">
        <f>C13*C21</f>
        <v>705</v>
      </c>
      <c r="D25" s="159" t="s">
        <v>8</v>
      </c>
      <c r="E25" s="160"/>
      <c r="H25" s="128" t="s">
        <v>113</v>
      </c>
      <c r="I25" s="129">
        <f>SUM(I19:I24)</f>
        <v>17018.445</v>
      </c>
      <c r="J25" s="129">
        <f>SUM(J22:J24)+J19</f>
        <v>16132.5</v>
      </c>
      <c r="K25" s="129">
        <f>SUM(K19:K24)</f>
        <v>-865.54499999999962</v>
      </c>
      <c r="L25" s="130"/>
      <c r="N25" s="86" t="s">
        <v>225</v>
      </c>
      <c r="O25" s="87">
        <f>P16</f>
        <v>0</v>
      </c>
      <c r="X25" s="167"/>
      <c r="Y25" s="156"/>
      <c r="Z25" s="156"/>
      <c r="AA25" s="156"/>
    </row>
    <row r="26" spans="2:27" ht="14.25" customHeight="1">
      <c r="B26" s="51" t="s">
        <v>177</v>
      </c>
      <c r="C26" s="171">
        <f>(I4+I5+I6+I14-I19)/C5</f>
        <v>26.499661016949151</v>
      </c>
      <c r="D26" s="52"/>
      <c r="E26" s="52" t="s">
        <v>226</v>
      </c>
      <c r="H26" s="27"/>
      <c r="I26" s="131"/>
      <c r="J26" s="131"/>
      <c r="K26" s="131"/>
      <c r="L26" s="114"/>
      <c r="N26" s="84" t="s">
        <v>227</v>
      </c>
      <c r="O26" s="85">
        <f>'Période 2'!U15</f>
        <v>3414.4</v>
      </c>
      <c r="X26" s="150" t="s">
        <v>117</v>
      </c>
      <c r="Y26" s="156"/>
      <c r="Z26" s="156"/>
      <c r="AA26" s="156"/>
    </row>
    <row r="27" spans="2:27" ht="14.25" customHeight="1">
      <c r="B27" s="172"/>
      <c r="C27" s="173"/>
      <c r="D27" s="173"/>
      <c r="E27" s="174"/>
      <c r="H27" s="317" t="s">
        <v>120</v>
      </c>
      <c r="I27" s="300"/>
      <c r="J27" s="300"/>
      <c r="K27" s="300"/>
      <c r="L27" s="301"/>
      <c r="N27" s="86" t="s">
        <v>228</v>
      </c>
      <c r="O27" s="87">
        <f>P8</f>
        <v>0</v>
      </c>
      <c r="X27" s="154" t="s">
        <v>40</v>
      </c>
      <c r="Y27" s="156"/>
      <c r="Z27" s="156"/>
      <c r="AA27" s="156"/>
    </row>
    <row r="28" spans="2:27" ht="14.25" customHeight="1">
      <c r="B28" s="308" t="s">
        <v>115</v>
      </c>
      <c r="C28" s="300"/>
      <c r="D28" s="300"/>
      <c r="E28" s="301"/>
      <c r="H28" s="27" t="s">
        <v>124</v>
      </c>
      <c r="I28" s="46">
        <f>C34*PASTOUCHER!I8*PASTOUCHER!K8*0.3</f>
        <v>192</v>
      </c>
      <c r="J28" s="46">
        <v>192</v>
      </c>
      <c r="K28" s="46">
        <f t="shared" ref="K28:K29" si="17">J28-I28</f>
        <v>0</v>
      </c>
      <c r="L28" s="114"/>
      <c r="N28" s="175" t="s">
        <v>229</v>
      </c>
      <c r="O28" s="176">
        <f>O26+O27</f>
        <v>3414.4</v>
      </c>
      <c r="X28" s="154" t="s">
        <v>126</v>
      </c>
      <c r="Y28" s="156"/>
      <c r="Z28" s="156"/>
      <c r="AA28" s="156"/>
    </row>
    <row r="29" spans="2:27" ht="14.25" customHeight="1">
      <c r="B29" s="51"/>
      <c r="C29" s="52"/>
      <c r="D29" s="52"/>
      <c r="E29" s="52"/>
      <c r="H29" s="5" t="s">
        <v>129</v>
      </c>
      <c r="I29" s="36">
        <f>I25-I16</f>
        <v>3311.5550000000003</v>
      </c>
      <c r="J29" s="36">
        <v>2697.3</v>
      </c>
      <c r="K29" s="36">
        <f t="shared" si="17"/>
        <v>-614.25500000000011</v>
      </c>
      <c r="L29" s="5"/>
      <c r="N29" s="177" t="s">
        <v>230</v>
      </c>
      <c r="O29" s="178">
        <f>O24/O28</f>
        <v>0.5266811152764761</v>
      </c>
      <c r="X29" s="154" t="s">
        <v>101</v>
      </c>
      <c r="Y29" s="156"/>
      <c r="Z29" s="156"/>
      <c r="AA29" s="156"/>
    </row>
    <row r="30" spans="2:27" ht="14.25" customHeight="1">
      <c r="B30" s="51" t="s">
        <v>118</v>
      </c>
      <c r="C30" s="52">
        <f>C31+C32-C33</f>
        <v>25</v>
      </c>
      <c r="D30" s="52" t="s">
        <v>119</v>
      </c>
      <c r="E30" s="52"/>
      <c r="H30" s="27" t="s">
        <v>132</v>
      </c>
      <c r="I30" s="46">
        <f>33.33%*I29</f>
        <v>1103.7412815</v>
      </c>
      <c r="J30" s="46">
        <f>J29-J31</f>
        <v>899.00000000000023</v>
      </c>
      <c r="K30" s="46"/>
      <c r="L30" s="147">
        <v>0.33329999999999999</v>
      </c>
      <c r="N30" s="175" t="s">
        <v>231</v>
      </c>
      <c r="O30" s="179">
        <f>O25/O28</f>
        <v>0</v>
      </c>
      <c r="X30" s="154" t="s">
        <v>133</v>
      </c>
      <c r="Y30" s="156"/>
      <c r="Z30" s="156"/>
      <c r="AA30" s="156"/>
    </row>
    <row r="31" spans="2:27" ht="14.25" customHeight="1">
      <c r="B31" s="27" t="s">
        <v>182</v>
      </c>
      <c r="C31" s="27">
        <f>PASTOUCHER!G8 + PASTOUCHER!G9</f>
        <v>15</v>
      </c>
      <c r="D31" s="27" t="s">
        <v>119</v>
      </c>
      <c r="E31" s="27"/>
      <c r="H31" s="128" t="s">
        <v>135</v>
      </c>
      <c r="I31" s="129">
        <f>I29-I30</f>
        <v>2207.8137185000005</v>
      </c>
      <c r="J31" s="129">
        <v>1798.3</v>
      </c>
      <c r="K31" s="129">
        <f>J31-I31</f>
        <v>-409.51371850000055</v>
      </c>
      <c r="L31" s="130"/>
      <c r="X31" s="149"/>
      <c r="Y31" s="149"/>
      <c r="Z31" s="149"/>
      <c r="AA31" s="149"/>
    </row>
    <row r="32" spans="2:27" ht="14.25" customHeight="1">
      <c r="B32" s="27" t="s">
        <v>184</v>
      </c>
      <c r="C32" s="27">
        <v>14</v>
      </c>
      <c r="D32" s="27" t="s">
        <v>119</v>
      </c>
      <c r="E32" s="27" t="s">
        <v>232</v>
      </c>
      <c r="X32" s="149"/>
      <c r="Y32" s="149"/>
      <c r="Z32" s="149"/>
      <c r="AA32" s="149"/>
    </row>
    <row r="33" spans="2:27" ht="14.25" customHeight="1">
      <c r="B33" s="160" t="s">
        <v>233</v>
      </c>
      <c r="C33" s="160">
        <v>4</v>
      </c>
      <c r="D33" s="160" t="s">
        <v>119</v>
      </c>
      <c r="E33" s="160"/>
      <c r="X33" s="149"/>
      <c r="Y33" s="149"/>
      <c r="Z33" s="149"/>
      <c r="AA33" s="149"/>
    </row>
    <row r="34" spans="2:27" ht="14.25" customHeight="1">
      <c r="B34" s="27" t="s">
        <v>122</v>
      </c>
      <c r="C34" s="27">
        <v>200</v>
      </c>
      <c r="D34" s="27" t="s">
        <v>123</v>
      </c>
      <c r="E34" s="27"/>
      <c r="X34" s="149"/>
      <c r="Y34" s="149"/>
      <c r="Z34" s="149"/>
      <c r="AA34" s="149"/>
    </row>
    <row r="35" spans="2:27" ht="14.25" customHeight="1">
      <c r="B35" s="52" t="s">
        <v>127</v>
      </c>
      <c r="C35" s="52">
        <f>PASTOUCHER!R9/C30</f>
        <v>11.28</v>
      </c>
      <c r="D35" s="52" t="s">
        <v>18</v>
      </c>
      <c r="E35" s="52" t="s">
        <v>234</v>
      </c>
      <c r="X35" s="149"/>
      <c r="Y35" s="149"/>
      <c r="Z35" s="149"/>
      <c r="AA35" s="149"/>
    </row>
    <row r="36" spans="2:27" ht="14.25" customHeight="1">
      <c r="B36" s="27" t="s">
        <v>131</v>
      </c>
      <c r="C36" s="27">
        <f>C42/C30</f>
        <v>10.4</v>
      </c>
      <c r="D36" s="27" t="s">
        <v>119</v>
      </c>
      <c r="E36" s="27"/>
      <c r="X36" s="149"/>
      <c r="Y36" s="149"/>
      <c r="Z36" s="149"/>
      <c r="AA36" s="149"/>
    </row>
    <row r="37" spans="2:27" ht="14.25" customHeight="1">
      <c r="B37" s="180" t="s">
        <v>235</v>
      </c>
      <c r="C37" s="181">
        <f>C30*C34</f>
        <v>5000</v>
      </c>
      <c r="D37" s="181"/>
      <c r="E37" s="181"/>
      <c r="X37" s="149"/>
      <c r="Y37" s="149"/>
      <c r="Z37" s="149"/>
      <c r="AA37" s="149"/>
    </row>
    <row r="38" spans="2:27" ht="14.25" customHeight="1">
      <c r="B38" s="114" t="s">
        <v>236</v>
      </c>
      <c r="C38" s="114">
        <f>PASTOUCHER!N11</f>
        <v>4700</v>
      </c>
      <c r="D38" s="114" t="s">
        <v>8</v>
      </c>
      <c r="E38" s="114"/>
      <c r="X38" s="149"/>
      <c r="Y38" s="149"/>
      <c r="Z38" s="149"/>
      <c r="AA38" s="149"/>
    </row>
    <row r="39" spans="2:27" ht="14.25" customHeight="1">
      <c r="B39" s="181" t="s">
        <v>237</v>
      </c>
      <c r="C39" s="182">
        <f>C35*C30*C36/10</f>
        <v>293.28000000000003</v>
      </c>
      <c r="D39" s="181" t="s">
        <v>18</v>
      </c>
      <c r="E39" s="181"/>
      <c r="X39" s="149"/>
      <c r="Y39" s="149"/>
      <c r="Z39" s="149"/>
      <c r="AA39" s="149"/>
    </row>
    <row r="40" spans="2:27" ht="14.25" customHeight="1">
      <c r="B40" s="183"/>
      <c r="C40" s="184"/>
      <c r="D40" s="185"/>
      <c r="E40" s="186"/>
      <c r="X40" s="149"/>
      <c r="Y40" s="149"/>
      <c r="Z40" s="149"/>
      <c r="AA40" s="149"/>
    </row>
    <row r="41" spans="2:27" ht="14.25" customHeight="1">
      <c r="B41" s="308" t="s">
        <v>138</v>
      </c>
      <c r="C41" s="300"/>
      <c r="D41" s="300"/>
      <c r="E41" s="301"/>
      <c r="X41" s="149"/>
      <c r="Y41" s="149"/>
      <c r="Z41" s="149"/>
      <c r="AA41" s="149"/>
    </row>
    <row r="42" spans="2:27" ht="15" customHeight="1">
      <c r="B42" s="51" t="s">
        <v>139</v>
      </c>
      <c r="C42" s="52">
        <f>C43+C44</f>
        <v>260</v>
      </c>
      <c r="D42" s="52" t="s">
        <v>119</v>
      </c>
      <c r="E42" s="52"/>
      <c r="X42" s="149"/>
      <c r="Y42" s="149"/>
      <c r="Z42" s="149"/>
      <c r="AA42" s="149"/>
    </row>
    <row r="43" spans="2:27" ht="14.25" customHeight="1">
      <c r="B43" s="27" t="s">
        <v>193</v>
      </c>
      <c r="C43" s="27">
        <v>149</v>
      </c>
      <c r="D43" s="27"/>
      <c r="E43" s="27"/>
      <c r="X43" s="149"/>
      <c r="Y43" s="149"/>
      <c r="Z43" s="149"/>
      <c r="AA43" s="149"/>
    </row>
    <row r="44" spans="2:27" ht="14.25" customHeight="1">
      <c r="B44" s="27" t="s">
        <v>194</v>
      </c>
      <c r="C44" s="27">
        <v>111</v>
      </c>
      <c r="D44" s="27"/>
      <c r="E44" s="27"/>
      <c r="X44" s="149"/>
      <c r="Y44" s="149"/>
      <c r="Z44" s="149"/>
      <c r="AA44" s="149"/>
    </row>
    <row r="45" spans="2:27" ht="14.25" customHeight="1">
      <c r="B45" s="27" t="s">
        <v>140</v>
      </c>
      <c r="C45" s="27">
        <v>22.5</v>
      </c>
      <c r="D45" s="27" t="s">
        <v>8</v>
      </c>
      <c r="E45" s="27" t="s">
        <v>238</v>
      </c>
      <c r="X45" s="149"/>
      <c r="Y45" s="149"/>
      <c r="Z45" s="149"/>
      <c r="AA45" s="149"/>
    </row>
    <row r="46" spans="2:27" ht="14.25" customHeight="1">
      <c r="B46" s="52" t="s">
        <v>141</v>
      </c>
      <c r="C46" s="52">
        <f>C45*C44*0.1</f>
        <v>249.75</v>
      </c>
      <c r="D46" s="52" t="s">
        <v>8</v>
      </c>
      <c r="E46" s="52" t="s">
        <v>142</v>
      </c>
      <c r="X46" s="149"/>
      <c r="Y46" s="149"/>
      <c r="Z46" s="149"/>
      <c r="AA46" s="149"/>
    </row>
    <row r="47" spans="2:27" ht="14.25" customHeight="1">
      <c r="B47" s="27" t="s">
        <v>197</v>
      </c>
      <c r="C47" s="27">
        <f>C45*C42</f>
        <v>5850</v>
      </c>
      <c r="D47" s="27" t="s">
        <v>8</v>
      </c>
      <c r="E47" s="27"/>
      <c r="X47" s="149"/>
      <c r="Y47" s="149"/>
      <c r="Z47" s="149"/>
      <c r="AA47" s="149"/>
    </row>
    <row r="48" spans="2:27" ht="14.25" customHeight="1">
      <c r="B48" s="55" t="s">
        <v>239</v>
      </c>
      <c r="C48" s="55">
        <v>13</v>
      </c>
      <c r="D48" s="55" t="s">
        <v>119</v>
      </c>
      <c r="E48" s="318" t="s">
        <v>240</v>
      </c>
      <c r="X48" s="149"/>
      <c r="Y48" s="149"/>
      <c r="Z48" s="149"/>
      <c r="AA48" s="149"/>
    </row>
    <row r="49" spans="2:27" ht="14.25" customHeight="1">
      <c r="B49" s="59" t="s">
        <v>241</v>
      </c>
      <c r="C49" s="59">
        <v>9</v>
      </c>
      <c r="D49" s="59" t="s">
        <v>119</v>
      </c>
      <c r="E49" s="319"/>
      <c r="X49" s="149"/>
      <c r="Y49" s="149"/>
      <c r="Z49" s="149"/>
      <c r="AA49" s="149"/>
    </row>
    <row r="50" spans="2:27" ht="14.25" customHeight="1">
      <c r="B50" s="159" t="s">
        <v>242</v>
      </c>
      <c r="C50" s="159">
        <v>1</v>
      </c>
      <c r="D50" s="159" t="s">
        <v>243</v>
      </c>
      <c r="E50" s="310"/>
      <c r="X50" s="149"/>
      <c r="Y50" s="149"/>
      <c r="Z50" s="149"/>
      <c r="AA50" s="149"/>
    </row>
    <row r="51" spans="2:27" ht="15" customHeight="1">
      <c r="B51" s="55" t="s">
        <v>201</v>
      </c>
      <c r="C51" s="55">
        <v>2</v>
      </c>
      <c r="D51" s="55" t="s">
        <v>202</v>
      </c>
      <c r="E51" s="27"/>
      <c r="X51" s="149"/>
      <c r="Y51" s="149"/>
      <c r="Z51" s="149"/>
      <c r="AA51" s="149"/>
    </row>
    <row r="52" spans="2:27" ht="14.25" customHeight="1">
      <c r="B52" s="59" t="s">
        <v>203</v>
      </c>
      <c r="C52" s="59">
        <v>0</v>
      </c>
      <c r="D52" s="59" t="s">
        <v>119</v>
      </c>
      <c r="E52" s="27"/>
      <c r="X52" s="149"/>
      <c r="Y52" s="149"/>
      <c r="Z52" s="149"/>
      <c r="AA52" s="149"/>
    </row>
    <row r="53" spans="2:27" ht="15" customHeight="1">
      <c r="B53" s="159" t="s">
        <v>244</v>
      </c>
      <c r="C53" s="159">
        <v>0</v>
      </c>
      <c r="D53" s="159" t="s">
        <v>119</v>
      </c>
      <c r="E53" s="187"/>
      <c r="X53" s="149"/>
      <c r="Y53" s="149"/>
      <c r="Z53" s="149"/>
      <c r="AA53" s="149"/>
    </row>
    <row r="54" spans="2:27" ht="14.25" customHeight="1">
      <c r="B54" s="52" t="s">
        <v>147</v>
      </c>
      <c r="C54" s="52">
        <v>6.2</v>
      </c>
      <c r="D54" s="52" t="s">
        <v>148</v>
      </c>
      <c r="E54" s="52" t="s">
        <v>149</v>
      </c>
      <c r="X54" s="149"/>
      <c r="Y54" s="149"/>
      <c r="Z54" s="149"/>
      <c r="AA54" s="149"/>
    </row>
    <row r="55" spans="2:27" ht="14.25" customHeight="1">
      <c r="B55" s="27" t="s">
        <v>150</v>
      </c>
      <c r="C55" s="27">
        <f>C45</f>
        <v>22.5</v>
      </c>
      <c r="D55" s="95" t="s">
        <v>8</v>
      </c>
      <c r="E55" s="27"/>
      <c r="X55" s="149"/>
      <c r="Y55" s="149"/>
      <c r="Z55" s="149"/>
      <c r="AA55" s="149"/>
    </row>
    <row r="56" spans="2:27" ht="14.25" customHeight="1">
      <c r="B56" s="45" t="s">
        <v>151</v>
      </c>
      <c r="C56" s="45">
        <f>0.2*C55*SUM(C51:C53)</f>
        <v>9</v>
      </c>
      <c r="D56" s="188" t="s">
        <v>8</v>
      </c>
      <c r="E56" s="45" t="s">
        <v>152</v>
      </c>
      <c r="X56" s="149"/>
      <c r="Y56" s="149"/>
      <c r="Z56" s="149"/>
      <c r="AA56" s="149"/>
    </row>
    <row r="57" spans="2:27" ht="14.25" customHeight="1">
      <c r="B57" s="183"/>
      <c r="C57" s="185"/>
      <c r="D57" s="185"/>
      <c r="E57" s="186"/>
    </row>
    <row r="58" spans="2:27" ht="14.25" customHeight="1">
      <c r="B58" s="320" t="s">
        <v>153</v>
      </c>
      <c r="C58" s="321"/>
      <c r="D58" s="321"/>
      <c r="E58" s="322"/>
    </row>
    <row r="59" spans="2:27" ht="14.25" customHeight="1">
      <c r="B59" s="189" t="s">
        <v>154</v>
      </c>
      <c r="C59" s="189">
        <v>75</v>
      </c>
      <c r="D59" s="189" t="s">
        <v>8</v>
      </c>
      <c r="E59" s="189" t="s">
        <v>155</v>
      </c>
    </row>
    <row r="60" spans="2:27" ht="14.25" customHeight="1">
      <c r="B60" s="52" t="s">
        <v>156</v>
      </c>
      <c r="C60" s="52">
        <v>400</v>
      </c>
      <c r="D60" s="52" t="s">
        <v>8</v>
      </c>
      <c r="E60" s="52"/>
    </row>
    <row r="61" spans="2:27" ht="14.25" customHeight="1">
      <c r="B61" s="164" t="s">
        <v>157</v>
      </c>
      <c r="C61" s="164">
        <v>200</v>
      </c>
      <c r="D61" s="164" t="s">
        <v>8</v>
      </c>
      <c r="E61" s="189" t="s">
        <v>158</v>
      </c>
    </row>
    <row r="62" spans="2:27" ht="14.25" customHeight="1"/>
    <row r="63" spans="2:27" ht="14.25" customHeight="1">
      <c r="B63" s="323" t="s">
        <v>245</v>
      </c>
      <c r="C63" s="300"/>
      <c r="D63" s="300"/>
      <c r="E63" s="301"/>
    </row>
    <row r="64" spans="2:27" ht="14.25" customHeight="1">
      <c r="B64" s="190" t="s">
        <v>50</v>
      </c>
      <c r="C64" s="191">
        <f>'Période 2'!T8</f>
        <v>733.3925890999999</v>
      </c>
      <c r="D64" s="190"/>
      <c r="E64" s="190" t="s">
        <v>246</v>
      </c>
    </row>
    <row r="65" spans="2:5" ht="14.25" customHeight="1">
      <c r="B65" s="138" t="s">
        <v>247</v>
      </c>
      <c r="C65" s="192">
        <f>PASTOUCHER!O11</f>
        <v>448</v>
      </c>
      <c r="D65" s="138"/>
      <c r="E65" s="138" t="s">
        <v>248</v>
      </c>
    </row>
    <row r="66" spans="2:5" ht="14.25" customHeight="1">
      <c r="B66" s="190" t="s">
        <v>249</v>
      </c>
      <c r="C66" s="191">
        <f>SUM(C65,C64)</f>
        <v>1181.3925890999999</v>
      </c>
      <c r="D66" s="190"/>
      <c r="E66" s="190"/>
    </row>
    <row r="67" spans="2:5" ht="14.25" customHeight="1">
      <c r="B67" s="138" t="s">
        <v>250</v>
      </c>
      <c r="C67" s="192">
        <f>PASTOUCHER!P11</f>
        <v>2800</v>
      </c>
      <c r="D67" s="138"/>
      <c r="E67" s="138" t="s">
        <v>251</v>
      </c>
    </row>
    <row r="68" spans="2:5" ht="14.25" customHeight="1">
      <c r="B68" s="190" t="s">
        <v>252</v>
      </c>
      <c r="C68" s="191">
        <v>1620</v>
      </c>
      <c r="D68" s="190"/>
      <c r="E68" s="190" t="s">
        <v>253</v>
      </c>
    </row>
    <row r="69" spans="2:5" ht="14.25" customHeight="1"/>
    <row r="70" spans="2:5" ht="14.25" customHeight="1"/>
    <row r="71" spans="2:5" ht="14.25" customHeight="1"/>
    <row r="72" spans="2:5" ht="14.25" customHeight="1"/>
    <row r="73" spans="2:5" ht="14.25" customHeight="1"/>
    <row r="74" spans="2:5" ht="14.25" customHeight="1"/>
    <row r="75" spans="2:5" ht="14.25" customHeight="1"/>
    <row r="76" spans="2:5" ht="14.25" customHeight="1"/>
    <row r="77" spans="2:5" ht="14.25" customHeight="1"/>
    <row r="78" spans="2:5" ht="14.25" customHeight="1"/>
    <row r="79" spans="2:5" ht="14.25" customHeight="1"/>
    <row r="80" spans="2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13">
    <mergeCell ref="B58:E58"/>
    <mergeCell ref="B63:E63"/>
    <mergeCell ref="B4:E4"/>
    <mergeCell ref="H18:L18"/>
    <mergeCell ref="B28:E28"/>
    <mergeCell ref="B41:E41"/>
    <mergeCell ref="E48:E50"/>
    <mergeCell ref="H27:L27"/>
    <mergeCell ref="N23:O23"/>
    <mergeCell ref="X3:AA3"/>
    <mergeCell ref="H1:K1"/>
    <mergeCell ref="N1:Q1"/>
    <mergeCell ref="S3:V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1012"/>
  <sheetViews>
    <sheetView tabSelected="1" topLeftCell="K1" workbookViewId="0">
      <selection activeCell="O13" sqref="O13"/>
    </sheetView>
  </sheetViews>
  <sheetFormatPr baseColWidth="10" defaultColWidth="14.44140625" defaultRowHeight="15" customHeight="1"/>
  <cols>
    <col min="1" max="1" width="10.6640625" customWidth="1"/>
    <col min="2" max="2" width="33.6640625" customWidth="1"/>
    <col min="3" max="3" width="11.33203125" customWidth="1"/>
    <col min="4" max="4" width="19.6640625" customWidth="1"/>
    <col min="5" max="5" width="53.44140625" customWidth="1"/>
    <col min="6" max="6" width="5.33203125" customWidth="1"/>
    <col min="7" max="7" width="5.5546875" customWidth="1"/>
    <col min="8" max="8" width="31.6640625" customWidth="1"/>
    <col min="9" max="9" width="14.109375" customWidth="1"/>
    <col min="10" max="10" width="13" customWidth="1"/>
    <col min="11" max="11" width="13.5546875" customWidth="1"/>
    <col min="12" max="12" width="29" customWidth="1"/>
    <col min="13" max="13" width="5.6640625" customWidth="1"/>
    <col min="14" max="14" width="30.33203125" customWidth="1"/>
    <col min="15" max="15" width="15" customWidth="1"/>
    <col min="16" max="16" width="13" customWidth="1"/>
    <col min="17" max="17" width="14.6640625" customWidth="1"/>
    <col min="18" max="18" width="5.6640625" customWidth="1"/>
    <col min="19" max="19" width="23.88671875" customWidth="1"/>
    <col min="20" max="20" width="15.5546875" customWidth="1"/>
    <col min="21" max="22" width="10.6640625" customWidth="1"/>
    <col min="23" max="23" width="5.44140625" customWidth="1"/>
    <col min="24" max="24" width="33.109375" customWidth="1"/>
    <col min="25" max="25" width="17.88671875" customWidth="1"/>
    <col min="26" max="27" width="13" customWidth="1"/>
  </cols>
  <sheetData>
    <row r="1" spans="2:27" ht="14.25" customHeight="1">
      <c r="B1" s="19" t="s">
        <v>17</v>
      </c>
      <c r="C1" s="19">
        <v>20.399999999999999</v>
      </c>
      <c r="D1" s="19" t="s">
        <v>18</v>
      </c>
      <c r="E1" s="20"/>
      <c r="H1" s="315" t="s">
        <v>19</v>
      </c>
      <c r="I1" s="300"/>
      <c r="J1" s="300"/>
      <c r="K1" s="301"/>
      <c r="L1" s="21"/>
      <c r="N1" s="316" t="s">
        <v>20</v>
      </c>
      <c r="O1" s="300"/>
      <c r="P1" s="300"/>
      <c r="Q1" s="301"/>
    </row>
    <row r="2" spans="2:27" ht="14.25" customHeight="1">
      <c r="B2" s="108"/>
      <c r="C2" s="108"/>
      <c r="D2" s="108"/>
      <c r="E2" s="108"/>
      <c r="H2" s="5"/>
      <c r="I2" s="5" t="s">
        <v>22</v>
      </c>
      <c r="J2" s="5" t="s">
        <v>23</v>
      </c>
      <c r="K2" s="5" t="s">
        <v>24</v>
      </c>
      <c r="L2" s="5"/>
      <c r="N2" s="21"/>
      <c r="O2" s="21" t="s">
        <v>22</v>
      </c>
      <c r="P2" s="21" t="s">
        <v>23</v>
      </c>
      <c r="Q2" s="21" t="s">
        <v>24</v>
      </c>
      <c r="X2" s="324" t="s">
        <v>254</v>
      </c>
      <c r="Y2" s="306"/>
      <c r="Z2" s="306"/>
      <c r="AA2" s="306"/>
    </row>
    <row r="3" spans="2:27" ht="14.25" customHeight="1">
      <c r="H3" s="109" t="s">
        <v>27</v>
      </c>
      <c r="I3" s="110"/>
      <c r="J3" s="110"/>
      <c r="K3" s="110">
        <v>5</v>
      </c>
      <c r="L3" s="111" t="s">
        <v>159</v>
      </c>
      <c r="N3" s="29" t="s">
        <v>28</v>
      </c>
      <c r="O3" s="340">
        <f>'Période 3'!P20</f>
        <v>817.09999999999707</v>
      </c>
      <c r="P3" s="30"/>
      <c r="Q3" s="30">
        <f>-O3+P3</f>
        <v>-817.09999999999707</v>
      </c>
      <c r="S3" s="307" t="s">
        <v>21</v>
      </c>
      <c r="T3" s="300"/>
      <c r="U3" s="300"/>
      <c r="V3" s="301"/>
      <c r="X3" s="315" t="s">
        <v>26</v>
      </c>
      <c r="Y3" s="300"/>
      <c r="Z3" s="301"/>
      <c r="AA3" s="193"/>
    </row>
    <row r="4" spans="2:27" ht="14.25" customHeight="1">
      <c r="B4" s="308" t="s">
        <v>30</v>
      </c>
      <c r="C4" s="300"/>
      <c r="D4" s="300"/>
      <c r="E4" s="301"/>
      <c r="H4" s="5" t="s">
        <v>31</v>
      </c>
      <c r="I4" s="36">
        <f>$K$3*C5</f>
        <v>2100</v>
      </c>
      <c r="J4" s="36"/>
      <c r="K4" s="36">
        <f t="shared" ref="K4:K16" si="0">J4-I4</f>
        <v>-2100</v>
      </c>
      <c r="L4" s="5" t="s">
        <v>255</v>
      </c>
      <c r="N4" s="37"/>
      <c r="O4" s="38"/>
      <c r="P4" s="38"/>
      <c r="Q4" s="39"/>
      <c r="S4" s="112" t="s">
        <v>161</v>
      </c>
      <c r="T4" s="113"/>
      <c r="U4" s="113"/>
      <c r="V4" s="113"/>
      <c r="X4" s="150" t="s">
        <v>29</v>
      </c>
      <c r="Y4" s="152" t="s">
        <v>93</v>
      </c>
      <c r="Z4" s="153" t="s">
        <v>94</v>
      </c>
      <c r="AA4" s="151" t="s">
        <v>205</v>
      </c>
    </row>
    <row r="5" spans="2:27" ht="14.25" customHeight="1">
      <c r="B5" s="44" t="s">
        <v>35</v>
      </c>
      <c r="C5" s="45">
        <v>420</v>
      </c>
      <c r="D5" s="45" t="s">
        <v>18</v>
      </c>
      <c r="E5" s="45"/>
      <c r="H5" s="27" t="s">
        <v>36</v>
      </c>
      <c r="I5" s="46">
        <f>C47</f>
        <v>9880</v>
      </c>
      <c r="J5" s="46"/>
      <c r="K5" s="46">
        <f t="shared" si="0"/>
        <v>-9880</v>
      </c>
      <c r="L5" s="114" t="s">
        <v>37</v>
      </c>
      <c r="N5" s="47" t="s">
        <v>38</v>
      </c>
      <c r="O5" s="30">
        <f>'Période 3'!U7  + 7/8 * I22</f>
        <v>24495.9</v>
      </c>
      <c r="P5" s="30"/>
      <c r="Q5" s="30">
        <f t="shared" ref="Q5:Q10" si="1">-O5+P5</f>
        <v>-24495.9</v>
      </c>
      <c r="S5" s="54" t="s">
        <v>206</v>
      </c>
      <c r="T5" s="338">
        <f>C38-I14</f>
        <v>3960</v>
      </c>
      <c r="U5" s="38"/>
      <c r="V5" s="38"/>
      <c r="X5" s="154" t="s">
        <v>34</v>
      </c>
      <c r="Y5" s="155">
        <f>J4+J5+J6+J10+J14-J19</f>
        <v>0</v>
      </c>
      <c r="Z5" s="156"/>
      <c r="AA5" s="156"/>
    </row>
    <row r="6" spans="2:27" ht="14.25" customHeight="1">
      <c r="B6" s="115" t="s">
        <v>41</v>
      </c>
      <c r="C6" s="116">
        <f>C7+C8+C9</f>
        <v>4.8000000000000007</v>
      </c>
      <c r="D6" s="116"/>
      <c r="E6" s="116"/>
      <c r="H6" s="5" t="s">
        <v>42</v>
      </c>
      <c r="I6" s="36">
        <v>0</v>
      </c>
      <c r="J6" s="36"/>
      <c r="K6" s="53">
        <f t="shared" si="0"/>
        <v>0</v>
      </c>
      <c r="L6" s="5"/>
      <c r="N6" s="54" t="s">
        <v>43</v>
      </c>
      <c r="O6" s="338">
        <f>0.05*MAX(0,'Période 3'!P20)</f>
        <v>40.854999999999855</v>
      </c>
      <c r="P6" s="38"/>
      <c r="Q6" s="39">
        <f t="shared" si="1"/>
        <v>-40.854999999999855</v>
      </c>
      <c r="S6" s="113" t="s">
        <v>39</v>
      </c>
      <c r="T6" s="339">
        <f>I20</f>
        <v>0</v>
      </c>
      <c r="U6" s="117"/>
      <c r="V6" s="117"/>
      <c r="X6" s="154" t="s">
        <v>40</v>
      </c>
      <c r="Y6" s="157">
        <f>4.6+C5</f>
        <v>424.6</v>
      </c>
      <c r="Z6" s="156"/>
      <c r="AA6" s="156"/>
    </row>
    <row r="7" spans="2:27" ht="14.25" customHeight="1">
      <c r="B7" s="55" t="s">
        <v>46</v>
      </c>
      <c r="C7" s="55">
        <f t="shared" ref="C7:C9" si="2">(C48+C51)*0.2</f>
        <v>3.2</v>
      </c>
      <c r="D7" s="55" t="s">
        <v>18</v>
      </c>
      <c r="E7" s="27" t="s">
        <v>207</v>
      </c>
      <c r="H7" s="27" t="s">
        <v>47</v>
      </c>
      <c r="I7" s="46">
        <f>SUM(C48:C53)*C55+C54*0.01*C22</f>
        <v>2345.9</v>
      </c>
      <c r="J7" s="46"/>
      <c r="K7" s="46">
        <f t="shared" si="0"/>
        <v>-2345.9</v>
      </c>
      <c r="L7" s="114"/>
      <c r="N7" s="47" t="s">
        <v>49</v>
      </c>
      <c r="O7" s="30">
        <f>PASTOUCHER!O16</f>
        <v>392</v>
      </c>
      <c r="P7" s="30"/>
      <c r="Q7" s="30">
        <f t="shared" si="1"/>
        <v>-392</v>
      </c>
      <c r="S7" s="54" t="s">
        <v>44</v>
      </c>
      <c r="T7" s="38">
        <f>1/8*I22</f>
        <v>3212.5</v>
      </c>
      <c r="U7" s="38"/>
      <c r="V7" s="38"/>
      <c r="X7" s="154" t="s">
        <v>45</v>
      </c>
      <c r="Y7" s="158">
        <f>Y5/Y6</f>
        <v>0</v>
      </c>
      <c r="Z7" s="156"/>
      <c r="AA7" s="156"/>
    </row>
    <row r="8" spans="2:27" ht="14.25" customHeight="1">
      <c r="B8" s="59" t="s">
        <v>51</v>
      </c>
      <c r="C8" s="59">
        <f t="shared" si="2"/>
        <v>1.6</v>
      </c>
      <c r="D8" s="59" t="s">
        <v>18</v>
      </c>
      <c r="E8" s="27" t="s">
        <v>208</v>
      </c>
      <c r="H8" s="5" t="s">
        <v>52</v>
      </c>
      <c r="I8" s="36">
        <f>0.05*C22</f>
        <v>1285</v>
      </c>
      <c r="J8" s="36"/>
      <c r="K8" s="53">
        <f t="shared" si="0"/>
        <v>-1285</v>
      </c>
      <c r="L8" s="5" t="s">
        <v>53</v>
      </c>
      <c r="N8" s="54" t="s">
        <v>54</v>
      </c>
      <c r="O8" s="38">
        <v>0</v>
      </c>
      <c r="P8" s="38"/>
      <c r="Q8" s="39">
        <f t="shared" si="1"/>
        <v>0</v>
      </c>
      <c r="S8" s="113" t="s">
        <v>50</v>
      </c>
      <c r="T8" s="339">
        <f>O20</f>
        <v>3164.2077744999988</v>
      </c>
      <c r="U8" s="117"/>
      <c r="V8" s="117"/>
      <c r="X8" s="154" t="s">
        <v>163</v>
      </c>
      <c r="Y8" s="152">
        <v>1</v>
      </c>
      <c r="Z8" s="153">
        <v>1</v>
      </c>
      <c r="AA8" s="151">
        <v>1</v>
      </c>
    </row>
    <row r="9" spans="2:27" ht="14.25" customHeight="1">
      <c r="B9" s="159" t="s">
        <v>210</v>
      </c>
      <c r="C9" s="159">
        <f t="shared" si="2"/>
        <v>0</v>
      </c>
      <c r="D9" s="159" t="s">
        <v>18</v>
      </c>
      <c r="E9" s="160"/>
      <c r="H9" s="27" t="s">
        <v>58</v>
      </c>
      <c r="I9" s="336">
        <f>'Période 3'!J9+(C11+C12)/2*0.01*I19/2</f>
        <v>-153.68</v>
      </c>
      <c r="J9" s="62"/>
      <c r="K9" s="46">
        <f t="shared" si="0"/>
        <v>153.68</v>
      </c>
      <c r="L9" s="114" t="s">
        <v>164</v>
      </c>
      <c r="N9" s="47" t="s">
        <v>59</v>
      </c>
      <c r="O9" s="30">
        <f>C68</f>
        <v>2000</v>
      </c>
      <c r="P9" s="30"/>
      <c r="Q9" s="30">
        <f t="shared" si="1"/>
        <v>-2000</v>
      </c>
      <c r="S9" s="77" t="s">
        <v>55</v>
      </c>
      <c r="T9" s="38">
        <f t="shared" ref="T9:U9" si="3">SUM(T5:T8)</f>
        <v>10336.707774499999</v>
      </c>
      <c r="U9" s="38">
        <f t="shared" si="3"/>
        <v>0</v>
      </c>
      <c r="V9" s="38"/>
      <c r="X9" s="154" t="s">
        <v>165</v>
      </c>
      <c r="Y9" s="162">
        <f>Y8*Y7</f>
        <v>0</v>
      </c>
      <c r="Z9" s="163">
        <f>Z8*Y7</f>
        <v>0</v>
      </c>
      <c r="AA9" s="161">
        <f>AA8*Y7</f>
        <v>0</v>
      </c>
    </row>
    <row r="10" spans="2:27" ht="14.25" customHeight="1">
      <c r="B10" s="61" t="s">
        <v>57</v>
      </c>
      <c r="C10" s="45"/>
      <c r="D10" s="45"/>
      <c r="E10" s="45"/>
      <c r="H10" s="5" t="s">
        <v>62</v>
      </c>
      <c r="I10" s="36">
        <f>30*C30+C61</f>
        <v>1360</v>
      </c>
      <c r="J10" s="36"/>
      <c r="K10" s="53">
        <f t="shared" si="0"/>
        <v>-1360</v>
      </c>
      <c r="L10" s="5" t="s">
        <v>63</v>
      </c>
      <c r="N10" s="65" t="s">
        <v>64</v>
      </c>
      <c r="O10" s="66">
        <f>SUM(O3:O9)</f>
        <v>27745.855</v>
      </c>
      <c r="P10" s="66">
        <f>SUM(P5:P9)</f>
        <v>0</v>
      </c>
      <c r="Q10" s="66">
        <f t="shared" si="1"/>
        <v>-27745.855</v>
      </c>
      <c r="S10" s="113"/>
      <c r="T10" s="117"/>
      <c r="U10" s="117"/>
      <c r="V10" s="117"/>
      <c r="X10" s="154" t="s">
        <v>60</v>
      </c>
      <c r="Y10" s="162">
        <f>C15</f>
        <v>800</v>
      </c>
      <c r="Z10" s="163">
        <f>C16</f>
        <v>1100</v>
      </c>
      <c r="AA10" s="161">
        <f>C17</f>
        <v>0</v>
      </c>
    </row>
    <row r="11" spans="2:27" ht="14.25" customHeight="1">
      <c r="B11" s="55" t="s">
        <v>46</v>
      </c>
      <c r="C11" s="55">
        <v>55</v>
      </c>
      <c r="D11" s="55" t="s">
        <v>8</v>
      </c>
      <c r="E11" s="164" t="s">
        <v>211</v>
      </c>
      <c r="H11" s="27" t="s">
        <v>66</v>
      </c>
      <c r="I11" s="46">
        <f>C60</f>
        <v>600</v>
      </c>
      <c r="J11" s="46"/>
      <c r="K11" s="46">
        <f t="shared" si="0"/>
        <v>-600</v>
      </c>
      <c r="L11" s="114"/>
      <c r="N11" s="68"/>
      <c r="O11" s="122"/>
      <c r="P11" s="122"/>
      <c r="Q11" s="30"/>
      <c r="S11" s="123" t="s">
        <v>167</v>
      </c>
      <c r="T11" s="38"/>
      <c r="U11" s="38"/>
      <c r="V11" s="38"/>
      <c r="X11" s="154" t="s">
        <v>65</v>
      </c>
      <c r="Y11" s="162">
        <f>Z15*C54% + (C48+C51)*C55</f>
        <v>420.35500000000002</v>
      </c>
      <c r="Z11" s="163">
        <f>AA15*C54% +(C49+C52)*C55</f>
        <v>212.69</v>
      </c>
      <c r="AA11" s="161">
        <f>AA15*C54% +(C50+C53)*C55</f>
        <v>4.6900000000000004</v>
      </c>
    </row>
    <row r="12" spans="2:27" ht="14.25" customHeight="1">
      <c r="B12" s="59" t="s">
        <v>51</v>
      </c>
      <c r="C12" s="59">
        <v>65</v>
      </c>
      <c r="D12" s="59" t="s">
        <v>8</v>
      </c>
      <c r="E12" s="164" t="s">
        <v>212</v>
      </c>
      <c r="H12" s="5" t="s">
        <v>70</v>
      </c>
      <c r="I12" s="337">
        <f>'Période 3'!J12 + (0.07* O9)</f>
        <v>308.8</v>
      </c>
      <c r="J12" s="36"/>
      <c r="K12" s="53">
        <f t="shared" si="0"/>
        <v>-308.8</v>
      </c>
      <c r="L12" s="5" t="s">
        <v>71</v>
      </c>
      <c r="N12" s="54" t="s">
        <v>72</v>
      </c>
      <c r="O12" s="341">
        <f>I16 - I14 - 1/6*I4 + 1/6*552</f>
        <v>19755.02</v>
      </c>
      <c r="P12" s="38"/>
      <c r="Q12" s="39">
        <f t="shared" ref="Q12:Q17" si="4">-O12+P12</f>
        <v>-19755.02</v>
      </c>
      <c r="S12" s="113" t="s">
        <v>67</v>
      </c>
      <c r="T12" s="117">
        <v>2400</v>
      </c>
      <c r="U12" s="117"/>
      <c r="V12" s="117"/>
      <c r="X12" s="154" t="s">
        <v>68</v>
      </c>
      <c r="Y12" s="162">
        <f t="shared" ref="Y12:AA12" si="5">5%*Y9</f>
        <v>0</v>
      </c>
      <c r="Z12" s="163">
        <f t="shared" si="5"/>
        <v>0</v>
      </c>
      <c r="AA12" s="161">
        <f t="shared" si="5"/>
        <v>0</v>
      </c>
    </row>
    <row r="13" spans="2:27" ht="14.25" customHeight="1">
      <c r="B13" s="159" t="s">
        <v>210</v>
      </c>
      <c r="C13" s="159">
        <v>70</v>
      </c>
      <c r="D13" s="159" t="s">
        <v>8</v>
      </c>
      <c r="E13" s="160" t="s">
        <v>213</v>
      </c>
      <c r="H13" s="27" t="s">
        <v>75</v>
      </c>
      <c r="I13" s="46">
        <f>C14</f>
        <v>1900</v>
      </c>
      <c r="J13" s="46"/>
      <c r="K13" s="46">
        <f t="shared" si="0"/>
        <v>-1900</v>
      </c>
      <c r="L13" s="114"/>
      <c r="N13" s="47" t="s">
        <v>76</v>
      </c>
      <c r="O13" s="30">
        <f>C34*C32</f>
        <v>3200</v>
      </c>
      <c r="P13" s="30"/>
      <c r="Q13" s="30">
        <f t="shared" si="4"/>
        <v>-3200</v>
      </c>
      <c r="S13" s="54" t="s">
        <v>73</v>
      </c>
      <c r="T13" s="38">
        <f>I31 + 'Période 3'!U13</f>
        <v>5168.3077745000001</v>
      </c>
      <c r="U13" s="38"/>
      <c r="V13" s="38"/>
      <c r="X13" s="154" t="s">
        <v>74</v>
      </c>
      <c r="Y13" s="162">
        <f t="shared" ref="Y13:AA13" si="6">SUM(Y9:Y12)</f>
        <v>1220.355</v>
      </c>
      <c r="Z13" s="163">
        <f t="shared" si="6"/>
        <v>1312.69</v>
      </c>
      <c r="AA13" s="161">
        <f t="shared" si="6"/>
        <v>4.6900000000000004</v>
      </c>
    </row>
    <row r="14" spans="2:27" ht="14.25" customHeight="1">
      <c r="B14" s="44" t="s">
        <v>69</v>
      </c>
      <c r="C14" s="45">
        <f>C15+C16+C17</f>
        <v>1900</v>
      </c>
      <c r="D14" s="45" t="s">
        <v>8</v>
      </c>
      <c r="E14" s="45"/>
      <c r="H14" s="5" t="s">
        <v>79</v>
      </c>
      <c r="I14" s="36">
        <f>0.1*C37</f>
        <v>740</v>
      </c>
      <c r="J14" s="36"/>
      <c r="K14" s="53">
        <f t="shared" si="0"/>
        <v>-740</v>
      </c>
      <c r="L14" s="5" t="s">
        <v>80</v>
      </c>
      <c r="N14" s="54" t="s">
        <v>81</v>
      </c>
      <c r="O14" s="38">
        <f>'Période 3'!P14+10%*O9</f>
        <v>449</v>
      </c>
      <c r="P14" s="38"/>
      <c r="Q14" s="39">
        <f t="shared" si="4"/>
        <v>-449</v>
      </c>
      <c r="S14" s="113" t="s">
        <v>77</v>
      </c>
      <c r="T14" s="117">
        <v>0</v>
      </c>
      <c r="U14" s="117"/>
      <c r="V14" s="117"/>
      <c r="X14" s="154" t="s">
        <v>170</v>
      </c>
      <c r="Y14" s="162">
        <f t="shared" ref="Y14:AA14" si="7">Y9/Y8</f>
        <v>0</v>
      </c>
      <c r="Z14" s="163">
        <f t="shared" si="7"/>
        <v>0</v>
      </c>
      <c r="AA14" s="161">
        <f t="shared" si="7"/>
        <v>0</v>
      </c>
    </row>
    <row r="15" spans="2:27" ht="14.25" customHeight="1">
      <c r="B15" s="55" t="s">
        <v>46</v>
      </c>
      <c r="C15" s="55">
        <v>800</v>
      </c>
      <c r="D15" s="55" t="s">
        <v>8</v>
      </c>
      <c r="E15" s="27" t="s">
        <v>215</v>
      </c>
      <c r="H15" s="27" t="s">
        <v>85</v>
      </c>
      <c r="I15" s="336">
        <f>C46+C56+C59</f>
        <v>387</v>
      </c>
      <c r="J15" s="46"/>
      <c r="K15" s="46">
        <f t="shared" si="0"/>
        <v>-387</v>
      </c>
      <c r="L15" s="114" t="s">
        <v>86</v>
      </c>
      <c r="N15" s="47" t="s">
        <v>87</v>
      </c>
      <c r="O15" s="30">
        <f>33.33%*I29</f>
        <v>1177.6272255000001</v>
      </c>
      <c r="P15" s="30"/>
      <c r="Q15" s="30">
        <f t="shared" si="4"/>
        <v>-1177.6272255000001</v>
      </c>
      <c r="S15" s="123" t="s">
        <v>82</v>
      </c>
      <c r="T15" s="38">
        <f t="shared" ref="T15:U15" si="8">SUM(T12:T14)</f>
        <v>7568.3077745000001</v>
      </c>
      <c r="U15" s="38">
        <f t="shared" si="8"/>
        <v>0</v>
      </c>
      <c r="V15" s="38"/>
      <c r="X15" s="154" t="s">
        <v>78</v>
      </c>
      <c r="Y15" s="162">
        <f>C11*Y8</f>
        <v>55</v>
      </c>
      <c r="Z15" s="163">
        <f>C12*Z8</f>
        <v>65</v>
      </c>
      <c r="AA15" s="161">
        <f>C13*AA8</f>
        <v>70</v>
      </c>
    </row>
    <row r="16" spans="2:27" ht="14.25" customHeight="1">
      <c r="B16" s="59" t="s">
        <v>51</v>
      </c>
      <c r="C16" s="59">
        <v>1100</v>
      </c>
      <c r="D16" s="59" t="s">
        <v>8</v>
      </c>
      <c r="E16" s="27" t="s">
        <v>256</v>
      </c>
      <c r="H16" s="128" t="s">
        <v>90</v>
      </c>
      <c r="I16" s="129">
        <f t="shared" ref="I16:J16" si="9">SUM(I4:I15)</f>
        <v>20753.02</v>
      </c>
      <c r="J16" s="129">
        <f t="shared" si="9"/>
        <v>0</v>
      </c>
      <c r="K16" s="129">
        <f t="shared" si="0"/>
        <v>-20753.02</v>
      </c>
      <c r="L16" s="130"/>
      <c r="N16" s="54" t="s">
        <v>91</v>
      </c>
      <c r="O16" s="38">
        <v>0</v>
      </c>
      <c r="P16" s="38"/>
      <c r="Q16" s="39">
        <f t="shared" si="4"/>
        <v>0</v>
      </c>
      <c r="S16" s="113"/>
      <c r="T16" s="117"/>
      <c r="U16" s="117"/>
      <c r="V16" s="117"/>
      <c r="X16" s="154" t="s">
        <v>83</v>
      </c>
      <c r="Y16" s="162">
        <f t="shared" ref="Y16:AA16" si="10">Y15-Y13</f>
        <v>-1165.355</v>
      </c>
      <c r="Z16" s="163">
        <f t="shared" si="10"/>
        <v>-1247.69</v>
      </c>
      <c r="AA16" s="161">
        <f t="shared" si="10"/>
        <v>65.31</v>
      </c>
    </row>
    <row r="17" spans="2:27" ht="14.25" customHeight="1">
      <c r="B17" s="159" t="s">
        <v>210</v>
      </c>
      <c r="C17" s="159">
        <v>0</v>
      </c>
      <c r="D17" s="159" t="s">
        <v>8</v>
      </c>
      <c r="E17" s="27" t="s">
        <v>257</v>
      </c>
      <c r="H17" s="27"/>
      <c r="I17" s="131"/>
      <c r="J17" s="131"/>
      <c r="K17" s="131"/>
      <c r="L17" s="114"/>
      <c r="N17" s="65" t="s">
        <v>95</v>
      </c>
      <c r="O17" s="66">
        <f t="shared" ref="O17:P17" si="11">SUM(O12:O16)</f>
        <v>24581.647225500001</v>
      </c>
      <c r="P17" s="66">
        <f t="shared" si="11"/>
        <v>0</v>
      </c>
      <c r="Q17" s="66">
        <f t="shared" si="4"/>
        <v>-24581.647225500001</v>
      </c>
      <c r="S17" s="113"/>
      <c r="T17" s="117"/>
      <c r="U17" s="117"/>
      <c r="V17" s="117"/>
      <c r="X17" s="165" t="s">
        <v>89</v>
      </c>
      <c r="Y17" s="166">
        <f t="shared" ref="Y17:AA17" si="12">Y16/Y8</f>
        <v>-1165.355</v>
      </c>
      <c r="Z17" s="166">
        <f t="shared" si="12"/>
        <v>-1247.69</v>
      </c>
      <c r="AA17" s="166">
        <f t="shared" si="12"/>
        <v>65.31</v>
      </c>
    </row>
    <row r="18" spans="2:27" ht="14.25" customHeight="1">
      <c r="B18" s="115" t="s">
        <v>84</v>
      </c>
      <c r="C18" s="127">
        <f>SUM(C19:C21)</f>
        <v>440</v>
      </c>
      <c r="D18" s="116" t="s">
        <v>258</v>
      </c>
      <c r="E18" s="45">
        <f>C1+C5</f>
        <v>440.4</v>
      </c>
      <c r="H18" s="317" t="s">
        <v>98</v>
      </c>
      <c r="I18" s="300"/>
      <c r="J18" s="300"/>
      <c r="K18" s="300"/>
      <c r="L18" s="301"/>
      <c r="N18" s="77"/>
      <c r="O18" s="135"/>
      <c r="P18" s="135"/>
      <c r="Q18" s="39"/>
      <c r="S18" s="113"/>
      <c r="T18" s="117"/>
      <c r="U18" s="117"/>
      <c r="V18" s="117"/>
      <c r="X18" s="167"/>
      <c r="Y18" s="156"/>
      <c r="Z18" s="156"/>
      <c r="AA18" s="156"/>
    </row>
    <row r="19" spans="2:27" ht="14.25" customHeight="1">
      <c r="B19" s="55" t="s">
        <v>46</v>
      </c>
      <c r="C19" s="73">
        <v>290</v>
      </c>
      <c r="D19" s="55" t="s">
        <v>18</v>
      </c>
      <c r="E19" s="27" t="s">
        <v>259</v>
      </c>
      <c r="H19" s="27" t="s">
        <v>173</v>
      </c>
      <c r="I19" s="336">
        <f>I20-'Période 3'!J19</f>
        <v>-614.6</v>
      </c>
      <c r="J19" s="46"/>
      <c r="K19" s="46">
        <f t="shared" ref="K19:K20" si="13">J19-I19</f>
        <v>614.6</v>
      </c>
      <c r="L19" s="114" t="s">
        <v>218</v>
      </c>
      <c r="N19" s="137"/>
      <c r="O19" s="136"/>
      <c r="P19" s="136"/>
      <c r="Q19" s="136"/>
      <c r="S19" s="113" t="s">
        <v>88</v>
      </c>
      <c r="T19" s="339">
        <f>C68 + 'Période 3'!T19 - O14</f>
        <v>3641</v>
      </c>
      <c r="U19" s="117"/>
      <c r="V19" s="117"/>
      <c r="X19" s="150" t="s">
        <v>97</v>
      </c>
      <c r="Y19" s="156"/>
      <c r="Z19" s="168"/>
      <c r="AA19" s="168"/>
    </row>
    <row r="20" spans="2:27" ht="14.25" customHeight="1">
      <c r="B20" s="59" t="s">
        <v>51</v>
      </c>
      <c r="C20" s="59">
        <v>150</v>
      </c>
      <c r="D20" s="59" t="s">
        <v>18</v>
      </c>
      <c r="E20" s="27" t="s">
        <v>260</v>
      </c>
      <c r="H20" s="5" t="s">
        <v>261</v>
      </c>
      <c r="I20" s="36">
        <v>0</v>
      </c>
      <c r="J20" s="36"/>
      <c r="K20" s="36">
        <f t="shared" si="13"/>
        <v>0</v>
      </c>
      <c r="L20" s="5" t="s">
        <v>176</v>
      </c>
      <c r="N20" s="65" t="s">
        <v>103</v>
      </c>
      <c r="O20" s="66">
        <f>O10-O17</f>
        <v>3164.2077744999988</v>
      </c>
      <c r="P20" s="66">
        <f>P10-P17+P3</f>
        <v>0</v>
      </c>
      <c r="Q20" s="66">
        <f>O20-P20</f>
        <v>3164.2077744999988</v>
      </c>
      <c r="S20" s="54" t="s">
        <v>92</v>
      </c>
      <c r="T20" s="38">
        <f>I4/6</f>
        <v>350</v>
      </c>
      <c r="U20" s="38"/>
      <c r="V20" s="38"/>
      <c r="X20" s="154" t="s">
        <v>100</v>
      </c>
      <c r="Y20" s="169">
        <f>J9+J11+J12+J15+J24</f>
        <v>0</v>
      </c>
      <c r="Z20" s="168"/>
      <c r="AA20" s="168"/>
    </row>
    <row r="21" spans="2:27" ht="14.25" customHeight="1">
      <c r="B21" s="159" t="s">
        <v>210</v>
      </c>
      <c r="C21" s="159">
        <v>0</v>
      </c>
      <c r="D21" s="159" t="s">
        <v>18</v>
      </c>
      <c r="E21" s="160" t="s">
        <v>262</v>
      </c>
      <c r="H21" s="114"/>
      <c r="I21" s="142"/>
      <c r="J21" s="142"/>
      <c r="K21" s="142"/>
      <c r="L21" s="114"/>
      <c r="S21" s="113" t="s">
        <v>96</v>
      </c>
      <c r="T21" s="117">
        <v>0</v>
      </c>
      <c r="U21" s="117"/>
      <c r="V21" s="117"/>
      <c r="X21" s="154" t="s">
        <v>104</v>
      </c>
      <c r="Y21" s="152">
        <f>100*Y8/Y6</f>
        <v>0.23551577955723033</v>
      </c>
      <c r="Z21" s="153">
        <f>100*Z8/Y6</f>
        <v>0.23551577955723033</v>
      </c>
      <c r="AA21" s="194"/>
    </row>
    <row r="22" spans="2:27" ht="14.25" customHeight="1">
      <c r="B22" s="115" t="s">
        <v>101</v>
      </c>
      <c r="C22" s="134">
        <f>C23+C24+C25</f>
        <v>25700</v>
      </c>
      <c r="D22" s="116" t="s">
        <v>8</v>
      </c>
      <c r="E22" s="45"/>
      <c r="H22" s="114" t="s">
        <v>105</v>
      </c>
      <c r="I22" s="142">
        <f>C22</f>
        <v>25700</v>
      </c>
      <c r="J22" s="142"/>
      <c r="K22" s="142">
        <f t="shared" ref="K22:K24" si="14">J22-I22</f>
        <v>-25700</v>
      </c>
      <c r="L22" s="114" t="s">
        <v>106</v>
      </c>
      <c r="S22" s="77"/>
      <c r="T22" s="38"/>
      <c r="U22" s="38"/>
      <c r="V22" s="38"/>
      <c r="X22" s="154" t="s">
        <v>107</v>
      </c>
      <c r="Y22" s="152">
        <f>100*(Y15/(Y15+Z15))</f>
        <v>45.833333333333329</v>
      </c>
      <c r="Z22" s="153">
        <f>100*(Z15/(Z15+Y15))</f>
        <v>54.166666666666664</v>
      </c>
      <c r="AA22" s="194"/>
    </row>
    <row r="23" spans="2:27" ht="14.25" customHeight="1">
      <c r="B23" s="55" t="s">
        <v>46</v>
      </c>
      <c r="C23" s="55">
        <f t="shared" ref="C23:C24" si="15">C19*C11</f>
        <v>15950</v>
      </c>
      <c r="D23" s="55" t="s">
        <v>8</v>
      </c>
      <c r="E23" s="27" t="s">
        <v>263</v>
      </c>
      <c r="H23" s="144" t="s">
        <v>178</v>
      </c>
      <c r="I23" s="53">
        <f>-C5</f>
        <v>-420</v>
      </c>
      <c r="J23" s="53"/>
      <c r="K23" s="53">
        <f t="shared" si="14"/>
        <v>420</v>
      </c>
      <c r="L23" s="144" t="s">
        <v>179</v>
      </c>
      <c r="N23" s="311" t="s">
        <v>111</v>
      </c>
      <c r="O23" s="300"/>
      <c r="P23" s="300"/>
      <c r="Q23" s="301"/>
      <c r="S23" s="77" t="s">
        <v>99</v>
      </c>
      <c r="T23" s="38">
        <f t="shared" ref="T23:U23" si="16">SUM(T15:T21)</f>
        <v>11559.307774500001</v>
      </c>
      <c r="U23" s="38">
        <f t="shared" si="16"/>
        <v>0</v>
      </c>
      <c r="V23" s="38"/>
      <c r="X23" s="154" t="s">
        <v>109</v>
      </c>
      <c r="Y23" s="152">
        <f>Y20*Y21</f>
        <v>0</v>
      </c>
      <c r="Z23" s="153">
        <f>Z22*Y20</f>
        <v>0</v>
      </c>
      <c r="AA23" s="194"/>
    </row>
    <row r="24" spans="2:27" ht="14.25" customHeight="1">
      <c r="B24" s="59" t="s">
        <v>51</v>
      </c>
      <c r="C24" s="59">
        <f t="shared" si="15"/>
        <v>9750</v>
      </c>
      <c r="D24" s="59" t="s">
        <v>8</v>
      </c>
      <c r="E24" s="27" t="s">
        <v>264</v>
      </c>
      <c r="H24" s="27" t="s">
        <v>108</v>
      </c>
      <c r="I24" s="46">
        <f>0.05 * 'Période 3'!P20 +I23</f>
        <v>-379.14500000000015</v>
      </c>
      <c r="J24" s="46"/>
      <c r="K24" s="46">
        <f t="shared" si="14"/>
        <v>379.14500000000015</v>
      </c>
      <c r="L24" s="114" t="s">
        <v>223</v>
      </c>
      <c r="N24" s="84" t="s">
        <v>265</v>
      </c>
      <c r="O24" s="85">
        <f t="shared" ref="O24:P24" si="17">I31</f>
        <v>2355.6077745000002</v>
      </c>
      <c r="P24" s="85">
        <f t="shared" si="17"/>
        <v>0</v>
      </c>
      <c r="Q24" s="85">
        <f t="shared" ref="Q24:Q30" si="18">O24-P24</f>
        <v>2355.6077745000002</v>
      </c>
      <c r="X24" s="154" t="s">
        <v>112</v>
      </c>
      <c r="Y24" s="152">
        <f>Y22*Y20</f>
        <v>0</v>
      </c>
      <c r="Z24" s="153">
        <f>Z22*Y20</f>
        <v>0</v>
      </c>
      <c r="AA24" s="194"/>
    </row>
    <row r="25" spans="2:27" ht="14.25" customHeight="1">
      <c r="B25" s="159" t="s">
        <v>210</v>
      </c>
      <c r="C25" s="159">
        <f>C13*C21</f>
        <v>0</v>
      </c>
      <c r="D25" s="159" t="s">
        <v>8</v>
      </c>
      <c r="E25" s="160"/>
      <c r="H25" s="128" t="s">
        <v>113</v>
      </c>
      <c r="I25" s="129">
        <f>SUM(I19:I24)</f>
        <v>24286.255000000001</v>
      </c>
      <c r="J25" s="129">
        <f>SUM(J22:J24)+J19</f>
        <v>0</v>
      </c>
      <c r="K25" s="129">
        <f>SUM(K19:K24)</f>
        <v>-24286.255000000001</v>
      </c>
      <c r="L25" s="130"/>
      <c r="N25" s="86" t="s">
        <v>266</v>
      </c>
      <c r="O25" s="87">
        <f t="shared" ref="O25:P25" si="19">O16</f>
        <v>0</v>
      </c>
      <c r="P25" s="87">
        <f t="shared" si="19"/>
        <v>0</v>
      </c>
      <c r="Q25" s="87">
        <f t="shared" si="18"/>
        <v>0</v>
      </c>
      <c r="S25" s="195" t="s">
        <v>267</v>
      </c>
      <c r="T25" s="196">
        <f>T19/T15</f>
        <v>0.48108508645323195</v>
      </c>
      <c r="U25" s="138"/>
      <c r="V25" s="196">
        <f>T25-U25</f>
        <v>0.48108508645323195</v>
      </c>
      <c r="X25" s="167"/>
      <c r="Y25" s="156"/>
      <c r="Z25" s="156"/>
      <c r="AA25" s="156"/>
    </row>
    <row r="26" spans="2:27" ht="14.25" customHeight="1">
      <c r="B26" s="51" t="s">
        <v>177</v>
      </c>
      <c r="C26" s="171">
        <f>(I4+I5+I6+I14-I19)/C5</f>
        <v>31.749047619047619</v>
      </c>
      <c r="D26" s="52"/>
      <c r="E26" s="52" t="s">
        <v>268</v>
      </c>
      <c r="H26" s="27"/>
      <c r="I26" s="131"/>
      <c r="J26" s="131"/>
      <c r="K26" s="131"/>
      <c r="L26" s="114"/>
      <c r="N26" s="84" t="s">
        <v>269</v>
      </c>
      <c r="O26" s="85">
        <f>'Période 3'!U15</f>
        <v>5212.7</v>
      </c>
      <c r="P26" s="85">
        <f>'Période 3'!U15</f>
        <v>5212.7</v>
      </c>
      <c r="Q26" s="85">
        <f t="shared" si="18"/>
        <v>0</v>
      </c>
      <c r="S26" s="197" t="s">
        <v>270</v>
      </c>
      <c r="X26" s="150" t="s">
        <v>117</v>
      </c>
      <c r="Y26" s="156"/>
      <c r="Z26" s="156"/>
      <c r="AA26" s="156"/>
    </row>
    <row r="27" spans="2:27" ht="14.25" customHeight="1">
      <c r="B27" s="172"/>
      <c r="C27" s="173"/>
      <c r="D27" s="173"/>
      <c r="E27" s="174"/>
      <c r="H27" s="317" t="s">
        <v>120</v>
      </c>
      <c r="I27" s="300"/>
      <c r="J27" s="300"/>
      <c r="K27" s="300"/>
      <c r="L27" s="301"/>
      <c r="N27" s="86" t="s">
        <v>271</v>
      </c>
      <c r="O27" s="87">
        <f t="shared" ref="O27:P27" si="20">O8</f>
        <v>0</v>
      </c>
      <c r="P27" s="87">
        <f t="shared" si="20"/>
        <v>0</v>
      </c>
      <c r="Q27" s="87">
        <f t="shared" si="18"/>
        <v>0</v>
      </c>
      <c r="X27" s="154" t="s">
        <v>40</v>
      </c>
      <c r="Y27" s="156"/>
      <c r="Z27" s="156"/>
      <c r="AA27" s="156"/>
    </row>
    <row r="28" spans="2:27" ht="14.25" customHeight="1">
      <c r="B28" s="308" t="s">
        <v>115</v>
      </c>
      <c r="C28" s="300"/>
      <c r="D28" s="300"/>
      <c r="E28" s="301"/>
      <c r="H28" s="27" t="s">
        <v>124</v>
      </c>
      <c r="I28" s="46">
        <f>C34*PASTOUCHER!I12*PASTOUCHER!K12*(1-0.7)</f>
        <v>168.00000000000003</v>
      </c>
      <c r="J28" s="46"/>
      <c r="K28" s="46">
        <f t="shared" ref="K28:K29" si="21">J28-I28</f>
        <v>-168.00000000000003</v>
      </c>
      <c r="L28" s="114"/>
      <c r="N28" s="175" t="s">
        <v>272</v>
      </c>
      <c r="O28" s="176">
        <f t="shared" ref="O28:P28" si="22">O26+O27</f>
        <v>5212.7</v>
      </c>
      <c r="P28" s="176">
        <f t="shared" si="22"/>
        <v>5212.7</v>
      </c>
      <c r="Q28" s="176">
        <f t="shared" si="18"/>
        <v>0</v>
      </c>
      <c r="X28" s="154" t="s">
        <v>126</v>
      </c>
      <c r="Y28" s="156"/>
      <c r="Z28" s="156"/>
      <c r="AA28" s="156"/>
    </row>
    <row r="29" spans="2:27" ht="14.25" customHeight="1">
      <c r="B29" s="51"/>
      <c r="C29" s="52"/>
      <c r="D29" s="52"/>
      <c r="E29" s="52"/>
      <c r="H29" s="5" t="s">
        <v>129</v>
      </c>
      <c r="I29" s="36">
        <f>I25-I16</f>
        <v>3533.2350000000006</v>
      </c>
      <c r="J29" s="36"/>
      <c r="K29" s="36">
        <f t="shared" si="21"/>
        <v>-3533.2350000000006</v>
      </c>
      <c r="L29" s="5"/>
      <c r="N29" s="177" t="s">
        <v>273</v>
      </c>
      <c r="O29" s="178">
        <f t="shared" ref="O29:P29" si="23">O24/O28</f>
        <v>0.45189782157039543</v>
      </c>
      <c r="P29" s="178">
        <f t="shared" si="23"/>
        <v>0</v>
      </c>
      <c r="Q29" s="178">
        <f t="shared" si="18"/>
        <v>0.45189782157039543</v>
      </c>
      <c r="X29" s="154" t="s">
        <v>101</v>
      </c>
      <c r="Y29" s="156"/>
      <c r="Z29" s="156"/>
      <c r="AA29" s="156"/>
    </row>
    <row r="30" spans="2:27" ht="14.25" customHeight="1">
      <c r="B30" s="51" t="s">
        <v>118</v>
      </c>
      <c r="C30" s="52">
        <f>C31+C32-C33</f>
        <v>37</v>
      </c>
      <c r="D30" s="52" t="s">
        <v>119</v>
      </c>
      <c r="E30" s="52"/>
      <c r="H30" s="27" t="s">
        <v>132</v>
      </c>
      <c r="I30" s="46">
        <f>33.33%*I29</f>
        <v>1177.6272255000001</v>
      </c>
      <c r="J30" s="46"/>
      <c r="K30" s="46"/>
      <c r="L30" s="147">
        <v>0.33329999999999999</v>
      </c>
      <c r="N30" s="175" t="s">
        <v>274</v>
      </c>
      <c r="O30" s="179">
        <f t="shared" ref="O30:P30" si="24">O25/O28</f>
        <v>0</v>
      </c>
      <c r="P30" s="179">
        <f t="shared" si="24"/>
        <v>0</v>
      </c>
      <c r="Q30" s="179">
        <f t="shared" si="18"/>
        <v>0</v>
      </c>
      <c r="X30" s="154" t="s">
        <v>133</v>
      </c>
      <c r="Y30" s="156"/>
      <c r="Z30" s="156"/>
      <c r="AA30" s="156"/>
    </row>
    <row r="31" spans="2:27" ht="14.25" customHeight="1">
      <c r="B31" s="27" t="s">
        <v>182</v>
      </c>
      <c r="C31" s="27">
        <f>PASTOUCHER!G12 + PASTOUCHER!G13 +PASTOUCHER!G14</f>
        <v>25</v>
      </c>
      <c r="D31" s="27" t="s">
        <v>119</v>
      </c>
      <c r="E31" s="27"/>
      <c r="H31" s="128" t="s">
        <v>135</v>
      </c>
      <c r="I31" s="129">
        <f t="shared" ref="I31:J31" si="25">I29-I30</f>
        <v>2355.6077745000002</v>
      </c>
      <c r="J31" s="129">
        <f t="shared" si="25"/>
        <v>0</v>
      </c>
      <c r="K31" s="129">
        <f>J31-I31</f>
        <v>-2355.6077745000002</v>
      </c>
      <c r="L31" s="130"/>
      <c r="X31" s="149"/>
      <c r="Y31" s="149"/>
      <c r="Z31" s="149"/>
      <c r="AA31" s="149"/>
    </row>
    <row r="32" spans="2:27" ht="14.25" customHeight="1">
      <c r="B32" s="27" t="s">
        <v>184</v>
      </c>
      <c r="C32" s="27">
        <v>16</v>
      </c>
      <c r="D32" s="27" t="s">
        <v>119</v>
      </c>
      <c r="E32" s="27" t="s">
        <v>275</v>
      </c>
      <c r="X32" s="149"/>
      <c r="Y32" s="149"/>
      <c r="Z32" s="149"/>
      <c r="AA32" s="149"/>
    </row>
    <row r="33" spans="2:27" ht="14.25" customHeight="1">
      <c r="B33" s="160" t="s">
        <v>233</v>
      </c>
      <c r="C33" s="160">
        <v>4</v>
      </c>
      <c r="D33" s="160" t="s">
        <v>119</v>
      </c>
      <c r="E33" s="160"/>
      <c r="X33" s="149"/>
      <c r="Y33" s="149"/>
      <c r="Z33" s="149"/>
      <c r="AA33" s="149"/>
    </row>
    <row r="34" spans="2:27" ht="14.25" customHeight="1">
      <c r="B34" s="27" t="s">
        <v>122</v>
      </c>
      <c r="C34" s="27">
        <v>200</v>
      </c>
      <c r="D34" s="27" t="s">
        <v>123</v>
      </c>
      <c r="E34" s="27"/>
      <c r="X34" s="149"/>
      <c r="Y34" s="149"/>
      <c r="Z34" s="149"/>
      <c r="AA34" s="149"/>
    </row>
    <row r="35" spans="2:27" ht="14.25" customHeight="1">
      <c r="B35" s="52" t="s">
        <v>276</v>
      </c>
      <c r="C35" s="171">
        <f>PASTOUCHER!R14/C30</f>
        <v>11.291745799853908</v>
      </c>
      <c r="D35" s="52" t="s">
        <v>18</v>
      </c>
      <c r="E35" s="52" t="s">
        <v>234</v>
      </c>
      <c r="X35" s="149"/>
      <c r="Y35" s="149"/>
      <c r="Z35" s="149"/>
      <c r="AA35" s="149"/>
    </row>
    <row r="36" spans="2:27" ht="14.25" customHeight="1">
      <c r="B36" s="27" t="s">
        <v>131</v>
      </c>
      <c r="C36" s="28">
        <f>C42/C30</f>
        <v>10.27027027027027</v>
      </c>
      <c r="D36" s="27" t="s">
        <v>119</v>
      </c>
      <c r="E36" s="27"/>
      <c r="X36" s="149"/>
      <c r="Y36" s="149"/>
      <c r="Z36" s="149"/>
      <c r="AA36" s="149"/>
    </row>
    <row r="37" spans="2:27" ht="14.25" customHeight="1">
      <c r="B37" s="180" t="s">
        <v>277</v>
      </c>
      <c r="C37" s="181">
        <f>C30*C34</f>
        <v>7400</v>
      </c>
      <c r="D37" s="181"/>
      <c r="E37" s="181"/>
      <c r="X37" s="149"/>
      <c r="Y37" s="149"/>
      <c r="Z37" s="149"/>
      <c r="AA37" s="149"/>
    </row>
    <row r="38" spans="2:27" ht="14.25" customHeight="1">
      <c r="B38" s="114" t="s">
        <v>278</v>
      </c>
      <c r="C38" s="114">
        <f>PASTOUCHER!N11</f>
        <v>4700</v>
      </c>
      <c r="D38" s="114" t="s">
        <v>8</v>
      </c>
      <c r="E38" s="114"/>
      <c r="X38" s="149"/>
      <c r="Y38" s="149"/>
      <c r="Z38" s="149"/>
      <c r="AA38" s="149"/>
    </row>
    <row r="39" spans="2:27" ht="14.25" customHeight="1">
      <c r="B39" s="181" t="s">
        <v>279</v>
      </c>
      <c r="C39" s="182">
        <f>C35*C30*C36/10</f>
        <v>429.08634039444848</v>
      </c>
      <c r="D39" s="181" t="s">
        <v>18</v>
      </c>
      <c r="E39" s="181"/>
      <c r="X39" s="149"/>
      <c r="Y39" s="149"/>
      <c r="Z39" s="149"/>
      <c r="AA39" s="149"/>
    </row>
    <row r="40" spans="2:27" ht="14.25" customHeight="1">
      <c r="B40" s="183"/>
      <c r="C40" s="184"/>
      <c r="D40" s="185"/>
      <c r="E40" s="186"/>
      <c r="X40" s="149"/>
      <c r="Y40" s="149"/>
      <c r="Z40" s="149"/>
      <c r="AA40" s="149"/>
    </row>
    <row r="41" spans="2:27" ht="14.25" customHeight="1">
      <c r="B41" s="308" t="s">
        <v>138</v>
      </c>
      <c r="C41" s="300"/>
      <c r="D41" s="300"/>
      <c r="E41" s="301"/>
      <c r="X41" s="149"/>
      <c r="Y41" s="149"/>
      <c r="Z41" s="149"/>
      <c r="AA41" s="149"/>
    </row>
    <row r="42" spans="2:27" ht="15" customHeight="1">
      <c r="B42" s="51" t="s">
        <v>139</v>
      </c>
      <c r="C42" s="52">
        <f>C43+C44</f>
        <v>380</v>
      </c>
      <c r="D42" s="52" t="s">
        <v>119</v>
      </c>
      <c r="E42" s="52"/>
      <c r="X42" s="149"/>
      <c r="Y42" s="149"/>
      <c r="Z42" s="149"/>
      <c r="AA42" s="149"/>
    </row>
    <row r="43" spans="2:27" ht="14.25" customHeight="1">
      <c r="B43" s="27" t="s">
        <v>193</v>
      </c>
      <c r="C43" s="27">
        <v>260</v>
      </c>
      <c r="D43" s="27"/>
      <c r="E43" s="27"/>
      <c r="X43" s="149"/>
      <c r="Y43" s="149"/>
      <c r="Z43" s="149"/>
      <c r="AA43" s="149"/>
    </row>
    <row r="44" spans="2:27" ht="14.25" customHeight="1">
      <c r="B44" s="27" t="s">
        <v>194</v>
      </c>
      <c r="C44" s="27">
        <v>120</v>
      </c>
      <c r="D44" s="27"/>
      <c r="E44" s="27"/>
      <c r="X44" s="149"/>
      <c r="Y44" s="149"/>
      <c r="Z44" s="149"/>
      <c r="AA44" s="149"/>
    </row>
    <row r="45" spans="2:27" ht="14.25" customHeight="1">
      <c r="B45" s="27" t="s">
        <v>140</v>
      </c>
      <c r="C45" s="27">
        <v>26</v>
      </c>
      <c r="D45" s="27" t="s">
        <v>8</v>
      </c>
      <c r="E45" s="27" t="s">
        <v>280</v>
      </c>
      <c r="X45" s="149"/>
      <c r="Y45" s="149"/>
      <c r="Z45" s="149"/>
      <c r="AA45" s="149"/>
    </row>
    <row r="46" spans="2:27" ht="14.25" customHeight="1">
      <c r="B46" s="52" t="s">
        <v>141</v>
      </c>
      <c r="C46" s="52">
        <f>C45*C44*0.1</f>
        <v>312</v>
      </c>
      <c r="D46" s="52" t="s">
        <v>8</v>
      </c>
      <c r="E46" s="52" t="s">
        <v>142</v>
      </c>
      <c r="X46" s="149"/>
      <c r="Y46" s="149"/>
      <c r="Z46" s="149"/>
      <c r="AA46" s="149"/>
    </row>
    <row r="47" spans="2:27" ht="14.25" customHeight="1">
      <c r="B47" s="27" t="s">
        <v>197</v>
      </c>
      <c r="C47" s="27">
        <f>C45*C42</f>
        <v>9880</v>
      </c>
      <c r="D47" s="27" t="s">
        <v>8</v>
      </c>
      <c r="E47" s="27"/>
      <c r="X47" s="149"/>
      <c r="Y47" s="149"/>
      <c r="Z47" s="149"/>
      <c r="AA47" s="149"/>
    </row>
    <row r="48" spans="2:27" ht="14.25" customHeight="1">
      <c r="B48" s="55" t="s">
        <v>239</v>
      </c>
      <c r="C48" s="55">
        <v>16</v>
      </c>
      <c r="D48" s="55" t="s">
        <v>119</v>
      </c>
      <c r="E48" s="318" t="s">
        <v>281</v>
      </c>
      <c r="X48" s="149"/>
      <c r="Y48" s="149"/>
      <c r="Z48" s="149"/>
      <c r="AA48" s="149"/>
    </row>
    <row r="49" spans="2:27" ht="14.25" customHeight="1">
      <c r="B49" s="59" t="s">
        <v>241</v>
      </c>
      <c r="C49" s="59">
        <v>8</v>
      </c>
      <c r="D49" s="59" t="s">
        <v>119</v>
      </c>
      <c r="E49" s="319"/>
      <c r="X49" s="149"/>
      <c r="Y49" s="149"/>
      <c r="Z49" s="149"/>
      <c r="AA49" s="149"/>
    </row>
    <row r="50" spans="2:27" ht="14.25" customHeight="1">
      <c r="B50" s="159" t="s">
        <v>242</v>
      </c>
      <c r="C50" s="159">
        <v>0</v>
      </c>
      <c r="D50" s="159" t="s">
        <v>243</v>
      </c>
      <c r="E50" s="310"/>
      <c r="X50" s="149"/>
      <c r="Y50" s="149"/>
      <c r="Z50" s="149"/>
      <c r="AA50" s="149"/>
    </row>
    <row r="51" spans="2:27" ht="15" customHeight="1">
      <c r="B51" s="55" t="s">
        <v>201</v>
      </c>
      <c r="C51" s="55">
        <v>0</v>
      </c>
      <c r="D51" s="55" t="s">
        <v>202</v>
      </c>
      <c r="E51" s="27"/>
      <c r="X51" s="149"/>
      <c r="Y51" s="149"/>
      <c r="Z51" s="149"/>
      <c r="AA51" s="149"/>
    </row>
    <row r="52" spans="2:27" ht="14.25" customHeight="1">
      <c r="B52" s="59" t="s">
        <v>203</v>
      </c>
      <c r="C52" s="59">
        <v>0</v>
      </c>
      <c r="D52" s="59" t="s">
        <v>119</v>
      </c>
      <c r="E52" s="27"/>
      <c r="X52" s="149"/>
      <c r="Y52" s="149"/>
      <c r="Z52" s="149"/>
      <c r="AA52" s="149"/>
    </row>
    <row r="53" spans="2:27" ht="15" customHeight="1">
      <c r="B53" s="159" t="s">
        <v>244</v>
      </c>
      <c r="C53" s="159">
        <v>0</v>
      </c>
      <c r="D53" s="159" t="s">
        <v>119</v>
      </c>
      <c r="E53" s="187"/>
      <c r="X53" s="149"/>
      <c r="Y53" s="149"/>
      <c r="Z53" s="149"/>
      <c r="AA53" s="149"/>
    </row>
    <row r="54" spans="2:27" ht="14.25" customHeight="1">
      <c r="B54" s="52" t="s">
        <v>147</v>
      </c>
      <c r="C54" s="52">
        <v>6.7</v>
      </c>
      <c r="D54" s="52" t="s">
        <v>148</v>
      </c>
      <c r="E54" s="52" t="s">
        <v>149</v>
      </c>
      <c r="X54" s="149"/>
      <c r="Y54" s="149"/>
      <c r="Z54" s="149"/>
      <c r="AA54" s="149"/>
    </row>
    <row r="55" spans="2:27" ht="14.25" customHeight="1">
      <c r="B55" s="27" t="s">
        <v>150</v>
      </c>
      <c r="C55" s="27">
        <f>C45</f>
        <v>26</v>
      </c>
      <c r="D55" s="95" t="s">
        <v>8</v>
      </c>
      <c r="E55" s="27"/>
      <c r="X55" s="149"/>
      <c r="Y55" s="149"/>
      <c r="Z55" s="149"/>
      <c r="AA55" s="149"/>
    </row>
    <row r="56" spans="2:27" ht="14.25" customHeight="1">
      <c r="B56" s="45" t="s">
        <v>151</v>
      </c>
      <c r="C56" s="45">
        <f>0.2*C55*SUM(C51:C53)</f>
        <v>0</v>
      </c>
      <c r="D56" s="188" t="s">
        <v>8</v>
      </c>
      <c r="E56" s="45" t="s">
        <v>152</v>
      </c>
      <c r="X56" s="149"/>
      <c r="Y56" s="149"/>
      <c r="Z56" s="149"/>
      <c r="AA56" s="149"/>
    </row>
    <row r="57" spans="2:27" ht="14.25" customHeight="1">
      <c r="B57" s="183"/>
      <c r="C57" s="185"/>
      <c r="D57" s="185"/>
      <c r="E57" s="186"/>
    </row>
    <row r="58" spans="2:27" ht="14.25" customHeight="1">
      <c r="B58" s="320" t="s">
        <v>153</v>
      </c>
      <c r="C58" s="321"/>
      <c r="D58" s="321"/>
      <c r="E58" s="322"/>
    </row>
    <row r="59" spans="2:27" ht="14.25" customHeight="1">
      <c r="B59" s="189" t="s">
        <v>154</v>
      </c>
      <c r="C59" s="189">
        <v>75</v>
      </c>
      <c r="D59" s="189" t="s">
        <v>8</v>
      </c>
      <c r="E59" s="189" t="s">
        <v>155</v>
      </c>
    </row>
    <row r="60" spans="2:27" ht="14.25" customHeight="1">
      <c r="B60" s="52" t="s">
        <v>156</v>
      </c>
      <c r="C60" s="52">
        <v>600</v>
      </c>
      <c r="D60" s="52" t="s">
        <v>8</v>
      </c>
      <c r="E60" s="52" t="s">
        <v>282</v>
      </c>
    </row>
    <row r="61" spans="2:27" ht="14.25" customHeight="1">
      <c r="B61" s="164" t="s">
        <v>157</v>
      </c>
      <c r="C61" s="164">
        <v>250</v>
      </c>
      <c r="D61" s="164" t="s">
        <v>8</v>
      </c>
      <c r="E61" s="189" t="s">
        <v>158</v>
      </c>
    </row>
    <row r="62" spans="2:27" ht="14.25" customHeight="1"/>
    <row r="63" spans="2:27" ht="14.25" customHeight="1">
      <c r="B63" s="323" t="s">
        <v>245</v>
      </c>
      <c r="C63" s="300"/>
      <c r="D63" s="300"/>
      <c r="E63" s="301"/>
    </row>
    <row r="64" spans="2:27" ht="14.25" customHeight="1">
      <c r="B64" s="190" t="s">
        <v>50</v>
      </c>
      <c r="C64" s="191">
        <f>'Période 3'!U8</f>
        <v>817.2</v>
      </c>
      <c r="D64" s="190"/>
      <c r="E64" s="190" t="s">
        <v>246</v>
      </c>
    </row>
    <row r="65" spans="2:5" ht="14.25" customHeight="1">
      <c r="B65" s="138" t="s">
        <v>247</v>
      </c>
      <c r="C65" s="192">
        <f>PASTOUCHER!O16</f>
        <v>392</v>
      </c>
      <c r="D65" s="138"/>
      <c r="E65" s="138" t="s">
        <v>248</v>
      </c>
    </row>
    <row r="66" spans="2:5" ht="14.25" customHeight="1">
      <c r="B66" s="190" t="s">
        <v>249</v>
      </c>
      <c r="C66" s="191">
        <f>SUM(C65,C64)</f>
        <v>1209.2</v>
      </c>
      <c r="D66" s="190"/>
      <c r="E66" s="190"/>
    </row>
    <row r="67" spans="2:5" ht="14.25" customHeight="1">
      <c r="B67" s="138" t="s">
        <v>250</v>
      </c>
      <c r="C67" s="192">
        <f>PASTOUCHER!P16</f>
        <v>3200</v>
      </c>
      <c r="D67" s="138"/>
      <c r="E67" s="138" t="s">
        <v>251</v>
      </c>
    </row>
    <row r="68" spans="2:5" ht="14.25" customHeight="1">
      <c r="B68" s="190" t="s">
        <v>252</v>
      </c>
      <c r="C68" s="191">
        <v>2000</v>
      </c>
      <c r="D68" s="190"/>
      <c r="E68" s="190" t="s">
        <v>253</v>
      </c>
    </row>
    <row r="69" spans="2:5" ht="14.25" customHeight="1"/>
    <row r="70" spans="2:5" ht="14.25" customHeight="1"/>
    <row r="71" spans="2:5" ht="14.25" customHeight="1"/>
    <row r="72" spans="2:5" ht="14.25" customHeight="1"/>
    <row r="73" spans="2:5" ht="14.25" customHeight="1"/>
    <row r="74" spans="2:5" ht="14.25" customHeight="1"/>
    <row r="75" spans="2:5" ht="14.25" customHeight="1"/>
    <row r="76" spans="2:5" ht="14.25" customHeight="1"/>
    <row r="77" spans="2:5" ht="14.25" customHeight="1"/>
    <row r="78" spans="2:5" ht="14.25" customHeight="1"/>
    <row r="79" spans="2:5" ht="14.25" customHeight="1"/>
    <row r="80" spans="2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14">
    <mergeCell ref="S3:V3"/>
    <mergeCell ref="X3:Z3"/>
    <mergeCell ref="B28:E28"/>
    <mergeCell ref="X2:AA2"/>
    <mergeCell ref="B41:E41"/>
    <mergeCell ref="E48:E50"/>
    <mergeCell ref="B58:E58"/>
    <mergeCell ref="B63:E63"/>
    <mergeCell ref="N1:Q1"/>
    <mergeCell ref="B4:E4"/>
    <mergeCell ref="N23:Q23"/>
    <mergeCell ref="H27:L27"/>
    <mergeCell ref="H1:K1"/>
    <mergeCell ref="H18:L1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M1" workbookViewId="0"/>
  </sheetViews>
  <sheetFormatPr baseColWidth="10" defaultColWidth="14.44140625" defaultRowHeight="15" customHeight="1"/>
  <cols>
    <col min="1" max="1" width="3" customWidth="1"/>
    <col min="2" max="2" width="25.44140625" customWidth="1"/>
    <col min="3" max="3" width="17.44140625" customWidth="1"/>
    <col min="4" max="4" width="3.109375" customWidth="1"/>
    <col min="5" max="5" width="3.6640625" customWidth="1"/>
    <col min="6" max="6" width="5.44140625" customWidth="1"/>
    <col min="7" max="7" width="8.6640625" customWidth="1"/>
    <col min="8" max="8" width="6.109375" customWidth="1"/>
    <col min="9" max="9" width="6.33203125" customWidth="1"/>
    <col min="10" max="10" width="9.6640625" customWidth="1"/>
    <col min="11" max="11" width="12.109375" customWidth="1"/>
    <col min="12" max="12" width="19.109375" customWidth="1"/>
    <col min="13" max="13" width="20.109375" customWidth="1"/>
    <col min="14" max="14" width="14.6640625" customWidth="1"/>
    <col min="15" max="15" width="17.6640625" customWidth="1"/>
    <col min="16" max="16" width="18.5546875" customWidth="1"/>
    <col min="17" max="17" width="13.109375" customWidth="1"/>
    <col min="18" max="18" width="22.33203125" customWidth="1"/>
    <col min="19" max="19" width="12.109375" customWidth="1"/>
    <col min="20" max="20" width="40.6640625" customWidth="1"/>
    <col min="21" max="21" width="17.109375" customWidth="1"/>
    <col min="22" max="22" width="11.88671875" customWidth="1"/>
    <col min="23" max="23" width="18.5546875" customWidth="1"/>
    <col min="24" max="24" width="19.6640625" customWidth="1"/>
    <col min="25" max="25" width="21.109375" customWidth="1"/>
  </cols>
  <sheetData>
    <row r="1" spans="1:28">
      <c r="A1" s="198"/>
      <c r="B1" s="198"/>
      <c r="C1" s="198"/>
      <c r="D1" s="198"/>
      <c r="E1" s="198"/>
      <c r="F1" s="199"/>
      <c r="G1" s="198"/>
      <c r="H1" s="198"/>
      <c r="I1" s="198"/>
      <c r="J1" s="198"/>
      <c r="K1" s="198"/>
      <c r="L1" s="198"/>
      <c r="M1" s="198"/>
      <c r="N1" s="200"/>
      <c r="O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</row>
    <row r="2" spans="1:28">
      <c r="A2" s="198"/>
      <c r="B2" s="328" t="s">
        <v>283</v>
      </c>
      <c r="C2" s="301"/>
      <c r="D2" s="198"/>
      <c r="E2" s="329" t="s">
        <v>284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201"/>
      <c r="T2" s="202" t="s">
        <v>285</v>
      </c>
      <c r="U2" s="198"/>
      <c r="V2" s="198"/>
      <c r="W2" s="198"/>
      <c r="X2" s="198"/>
      <c r="Y2" s="198"/>
      <c r="Z2" s="198"/>
      <c r="AA2" s="198"/>
      <c r="AB2" s="198"/>
    </row>
    <row r="3" spans="1:28">
      <c r="A3" s="198"/>
      <c r="B3" s="203" t="s">
        <v>286</v>
      </c>
      <c r="C3" s="204" t="s">
        <v>287</v>
      </c>
      <c r="D3" s="198"/>
      <c r="E3" s="205"/>
      <c r="F3" s="206"/>
      <c r="G3" s="207" t="s">
        <v>288</v>
      </c>
      <c r="H3" s="208" t="s">
        <v>289</v>
      </c>
      <c r="I3" s="207" t="s">
        <v>290</v>
      </c>
      <c r="J3" s="208" t="s">
        <v>288</v>
      </c>
      <c r="K3" s="207" t="s">
        <v>291</v>
      </c>
      <c r="L3" s="209" t="s">
        <v>292</v>
      </c>
      <c r="M3" s="208" t="s">
        <v>293</v>
      </c>
      <c r="N3" s="210" t="s">
        <v>294</v>
      </c>
      <c r="O3" s="210" t="s">
        <v>295</v>
      </c>
      <c r="P3" s="211" t="s">
        <v>296</v>
      </c>
      <c r="Q3" s="212" t="s">
        <v>297</v>
      </c>
      <c r="R3" s="210" t="s">
        <v>298</v>
      </c>
      <c r="S3" s="213"/>
      <c r="T3" s="214" t="s">
        <v>299</v>
      </c>
      <c r="U3" s="198"/>
      <c r="V3" s="198"/>
      <c r="W3" s="198"/>
      <c r="X3" s="198"/>
      <c r="Y3" s="198"/>
      <c r="Z3" s="198"/>
      <c r="AA3" s="198"/>
      <c r="AB3" s="198"/>
    </row>
    <row r="4" spans="1:28">
      <c r="A4" s="198"/>
      <c r="B4" s="213">
        <v>5</v>
      </c>
      <c r="C4" s="215">
        <v>10</v>
      </c>
      <c r="D4" s="198"/>
      <c r="E4" s="216"/>
      <c r="F4" s="216"/>
      <c r="G4" s="217" t="s">
        <v>300</v>
      </c>
      <c r="H4" s="218"/>
      <c r="I4" s="219"/>
      <c r="J4" s="220" t="s">
        <v>301</v>
      </c>
      <c r="K4" s="217" t="s">
        <v>302</v>
      </c>
      <c r="L4" s="221" t="s">
        <v>303</v>
      </c>
      <c r="M4" s="218"/>
      <c r="N4" s="222"/>
      <c r="O4" s="223" t="s">
        <v>304</v>
      </c>
      <c r="P4" s="224" t="s">
        <v>304</v>
      </c>
      <c r="Q4" s="221" t="s">
        <v>304</v>
      </c>
      <c r="R4" s="225" t="s">
        <v>305</v>
      </c>
      <c r="S4" s="213"/>
      <c r="T4" s="226" t="s">
        <v>306</v>
      </c>
      <c r="U4" s="198"/>
      <c r="V4" s="198"/>
      <c r="W4" s="198"/>
      <c r="X4" s="198"/>
      <c r="Y4" s="198"/>
      <c r="Z4" s="198"/>
      <c r="AA4" s="198"/>
      <c r="AB4" s="198"/>
    </row>
    <row r="5" spans="1:28">
      <c r="A5" s="198"/>
      <c r="B5" s="213">
        <v>6</v>
      </c>
      <c r="C5" s="215">
        <v>10.5</v>
      </c>
      <c r="D5" s="198"/>
      <c r="E5" s="330" t="s">
        <v>307</v>
      </c>
      <c r="F5" s="227" t="s">
        <v>308</v>
      </c>
      <c r="G5" s="228">
        <v>8</v>
      </c>
      <c r="H5" s="200"/>
      <c r="I5" s="229">
        <v>0</v>
      </c>
      <c r="J5" s="230">
        <f>G5-I5</f>
        <v>8</v>
      </c>
      <c r="K5" s="231">
        <v>0.9</v>
      </c>
      <c r="L5" s="232">
        <f t="shared" ref="L5:L6" si="0">K5*J5</f>
        <v>7.2</v>
      </c>
      <c r="M5" s="233"/>
      <c r="N5" s="234">
        <f>J5*K5*C16</f>
        <v>1440</v>
      </c>
      <c r="O5" s="235">
        <f>'Période 2'!$C$28 * (I5*K5) * 0.7</f>
        <v>0</v>
      </c>
      <c r="P5" s="236"/>
      <c r="Q5" s="237"/>
      <c r="R5" s="238">
        <f>(J7-MOD(J7,10))*12.5*M7 + IF( (MOD(J7,10))&lt;5, MOD(J7,10)*5*M7, (10+(MOD(J7,10)-5)*0.5)*MOD(J7,10)*M7) * MIN(10,'Période 2'!C36/J7)/10</f>
        <v>165.66666666666666</v>
      </c>
      <c r="S5" s="239" t="s">
        <v>309</v>
      </c>
      <c r="T5" s="240" t="s">
        <v>310</v>
      </c>
      <c r="U5" s="198"/>
      <c r="V5" s="198"/>
      <c r="W5" s="198"/>
      <c r="X5" s="198"/>
      <c r="Y5" s="198"/>
      <c r="Z5" s="198"/>
      <c r="AA5" s="198"/>
      <c r="AB5" s="198"/>
    </row>
    <row r="6" spans="1:28">
      <c r="A6" s="198"/>
      <c r="B6" s="213">
        <v>7</v>
      </c>
      <c r="C6" s="215">
        <v>11</v>
      </c>
      <c r="D6" s="198"/>
      <c r="E6" s="326"/>
      <c r="F6" s="227" t="s">
        <v>311</v>
      </c>
      <c r="G6" s="231"/>
      <c r="H6" s="241">
        <f>'Période 2'!C27</f>
        <v>7</v>
      </c>
      <c r="I6" s="231"/>
      <c r="J6" s="230">
        <f>H6</f>
        <v>7</v>
      </c>
      <c r="K6" s="231">
        <v>1</v>
      </c>
      <c r="L6" s="232">
        <f t="shared" si="0"/>
        <v>7</v>
      </c>
      <c r="M6" s="233"/>
      <c r="N6" s="235">
        <f>J6*K6*C16</f>
        <v>1400</v>
      </c>
      <c r="O6" s="235">
        <f>'Période 2'!$C$28 * (I6*K6) * 0.7</f>
        <v>0</v>
      </c>
      <c r="P6" s="242"/>
      <c r="Q6" s="243"/>
      <c r="R6" s="244"/>
      <c r="S6" s="245" t="s">
        <v>312</v>
      </c>
      <c r="T6" s="215"/>
      <c r="U6" s="198"/>
      <c r="V6" s="198"/>
      <c r="W6" s="198"/>
      <c r="X6" s="198"/>
      <c r="Y6" s="198"/>
      <c r="Z6" s="198"/>
      <c r="AA6" s="198"/>
      <c r="AB6" s="198"/>
    </row>
    <row r="7" spans="1:28">
      <c r="A7" s="198"/>
      <c r="B7" s="213">
        <v>8</v>
      </c>
      <c r="C7" s="215">
        <v>11.5</v>
      </c>
      <c r="D7" s="198"/>
      <c r="E7" s="327"/>
      <c r="F7" s="246"/>
      <c r="G7" s="247"/>
      <c r="H7" s="248"/>
      <c r="I7" s="247"/>
      <c r="J7" s="249">
        <f>SUM(J5:J6)</f>
        <v>15</v>
      </c>
      <c r="K7" s="247"/>
      <c r="L7" s="250">
        <f>SUM(L5:L6)</f>
        <v>14.2</v>
      </c>
      <c r="M7" s="251">
        <f>L7/J7</f>
        <v>0.94666666666666666</v>
      </c>
      <c r="N7" s="252">
        <f>SUM(N5:N6)</f>
        <v>2840</v>
      </c>
      <c r="O7" s="253">
        <f>SUM(O4:O6)</f>
        <v>0</v>
      </c>
      <c r="P7" s="253">
        <f>$C$16*H6</f>
        <v>1400</v>
      </c>
      <c r="Q7" s="254">
        <f>P7-O7</f>
        <v>1400</v>
      </c>
      <c r="R7" s="255"/>
      <c r="S7" s="213"/>
      <c r="T7" s="215"/>
      <c r="U7" s="198"/>
      <c r="V7" s="198"/>
      <c r="W7" s="198"/>
      <c r="X7" s="198"/>
      <c r="Y7" s="198"/>
      <c r="Z7" s="198"/>
      <c r="AA7" s="198"/>
      <c r="AB7" s="198"/>
    </row>
    <row r="8" spans="1:28">
      <c r="A8" s="198"/>
      <c r="B8" s="213">
        <v>9</v>
      </c>
      <c r="C8" s="215">
        <v>12</v>
      </c>
      <c r="D8" s="198"/>
      <c r="E8" s="325" t="s">
        <v>313</v>
      </c>
      <c r="F8" s="227" t="s">
        <v>308</v>
      </c>
      <c r="G8" s="256">
        <f t="shared" ref="G8:G9" si="1">J5</f>
        <v>8</v>
      </c>
      <c r="H8" s="200"/>
      <c r="I8" s="257">
        <f>MIN(G8,'Période 3'!C33)</f>
        <v>4</v>
      </c>
      <c r="J8" s="258">
        <f t="shared" ref="J8:J9" si="2">G8-I8</f>
        <v>4</v>
      </c>
      <c r="K8" s="231">
        <v>0.8</v>
      </c>
      <c r="L8" s="259">
        <f t="shared" ref="L8:L10" si="3">J8*K8</f>
        <v>3.2</v>
      </c>
      <c r="M8" s="233"/>
      <c r="N8" s="260">
        <f t="shared" ref="N8:N10" si="4">J8*K8*$C$16</f>
        <v>640</v>
      </c>
      <c r="O8" s="261">
        <f>'Période 3'!$C$34 * (I8*K8) * 0.7</f>
        <v>448</v>
      </c>
      <c r="P8" s="262"/>
      <c r="Q8" s="237"/>
      <c r="R8" s="243"/>
      <c r="S8" s="213"/>
      <c r="T8" s="215"/>
      <c r="U8" s="198"/>
      <c r="V8" s="198"/>
      <c r="W8" s="198"/>
      <c r="X8" s="198"/>
      <c r="Y8" s="198"/>
      <c r="Z8" s="198"/>
      <c r="AA8" s="198"/>
      <c r="AB8" s="198"/>
    </row>
    <row r="9" spans="1:28">
      <c r="A9" s="198"/>
      <c r="B9" s="213">
        <v>10</v>
      </c>
      <c r="C9" s="215">
        <v>12.5</v>
      </c>
      <c r="D9" s="198"/>
      <c r="E9" s="326"/>
      <c r="F9" s="227" t="s">
        <v>311</v>
      </c>
      <c r="G9" s="256">
        <f t="shared" si="1"/>
        <v>7</v>
      </c>
      <c r="H9" s="200"/>
      <c r="I9" s="263">
        <f>MIN(MAX('Période 3'!C33-I8,0),G9)</f>
        <v>0</v>
      </c>
      <c r="J9" s="258">
        <f t="shared" si="2"/>
        <v>7</v>
      </c>
      <c r="K9" s="231">
        <v>0.9</v>
      </c>
      <c r="L9" s="259">
        <f t="shared" si="3"/>
        <v>6.3</v>
      </c>
      <c r="M9" s="233"/>
      <c r="N9" s="264">
        <f t="shared" si="4"/>
        <v>1260</v>
      </c>
      <c r="O9" s="261">
        <f>'Période 3'!$C$34 * (I9*K9) * 0.7</f>
        <v>0</v>
      </c>
      <c r="P9" s="242"/>
      <c r="Q9" s="243"/>
      <c r="R9" s="238">
        <f>(J11-MOD(J11,10))*12.5*M11 + IF( (MOD(J11,10))&lt;5, MOD(J11,10)*5*M11, (10+(MOD(J11,10)-5)*0.5)*MOD(J11,10)*M11) * MIN(10,'Période 3'!C42/J7)/10</f>
        <v>282</v>
      </c>
      <c r="S9" s="245" t="s">
        <v>309</v>
      </c>
      <c r="T9" s="215" t="s">
        <v>314</v>
      </c>
      <c r="U9" s="198"/>
      <c r="V9" s="198"/>
      <c r="W9" s="198"/>
      <c r="X9" s="198"/>
      <c r="Y9" s="198"/>
      <c r="Z9" s="198"/>
      <c r="AA9" s="198"/>
      <c r="AB9" s="198"/>
    </row>
    <row r="10" spans="1:28">
      <c r="A10" s="198"/>
      <c r="B10" s="213"/>
      <c r="C10" s="215"/>
      <c r="D10" s="198"/>
      <c r="E10" s="326"/>
      <c r="F10" s="227" t="s">
        <v>315</v>
      </c>
      <c r="G10" s="231"/>
      <c r="H10" s="241">
        <f>'Période 3'!C32</f>
        <v>14</v>
      </c>
      <c r="I10" s="231"/>
      <c r="J10" s="258">
        <f>H10</f>
        <v>14</v>
      </c>
      <c r="K10" s="231">
        <v>1</v>
      </c>
      <c r="L10" s="259">
        <f t="shared" si="3"/>
        <v>14</v>
      </c>
      <c r="M10" s="233"/>
      <c r="N10" s="264">
        <f t="shared" si="4"/>
        <v>2800</v>
      </c>
      <c r="O10" s="261">
        <f>'Période 3'!$C$34 * (I10*K10) * 0.7</f>
        <v>0</v>
      </c>
      <c r="P10" s="242"/>
      <c r="Q10" s="243"/>
      <c r="R10" s="265"/>
      <c r="S10" s="239" t="s">
        <v>312</v>
      </c>
      <c r="T10" s="215" t="s">
        <v>316</v>
      </c>
      <c r="U10" s="198"/>
      <c r="V10" s="198"/>
      <c r="W10" s="198"/>
      <c r="X10" s="198"/>
      <c r="Y10" s="198"/>
      <c r="Z10" s="198"/>
      <c r="AA10" s="198"/>
      <c r="AB10" s="198"/>
    </row>
    <row r="11" spans="1:28">
      <c r="A11" s="198"/>
      <c r="B11" s="203" t="s">
        <v>317</v>
      </c>
      <c r="C11" s="204">
        <v>5</v>
      </c>
      <c r="D11" s="198"/>
      <c r="E11" s="326"/>
      <c r="F11" s="227"/>
      <c r="G11" s="231"/>
      <c r="H11" s="200"/>
      <c r="I11" s="231"/>
      <c r="J11" s="266">
        <f>SUM(J8:J10)</f>
        <v>25</v>
      </c>
      <c r="K11" s="231"/>
      <c r="L11" s="267">
        <f>SUM(L8:L10)</f>
        <v>23.5</v>
      </c>
      <c r="M11" s="268">
        <f>L11/J11</f>
        <v>0.94</v>
      </c>
      <c r="N11" s="269">
        <f t="shared" ref="N11:O11" si="5">SUM(N8:N10)</f>
        <v>4700</v>
      </c>
      <c r="O11" s="270">
        <f t="shared" si="5"/>
        <v>448</v>
      </c>
      <c r="P11" s="270">
        <f>$C$16*H10</f>
        <v>2800</v>
      </c>
      <c r="Q11" s="271">
        <f>P11-O11</f>
        <v>2352</v>
      </c>
      <c r="R11" s="243"/>
      <c r="S11" s="213"/>
      <c r="T11" s="215"/>
      <c r="U11" s="198"/>
      <c r="V11" s="198"/>
      <c r="W11" s="198"/>
      <c r="X11" s="198"/>
      <c r="Y11" s="198"/>
      <c r="Z11" s="198"/>
      <c r="AA11" s="198"/>
      <c r="AB11" s="198"/>
    </row>
    <row r="12" spans="1:28">
      <c r="A12" s="198"/>
      <c r="B12" s="213"/>
      <c r="C12" s="215"/>
      <c r="D12" s="198"/>
      <c r="E12" s="331" t="s">
        <v>318</v>
      </c>
      <c r="F12" s="272" t="s">
        <v>308</v>
      </c>
      <c r="G12" s="273">
        <f t="shared" ref="G12:G14" si="6">J8</f>
        <v>4</v>
      </c>
      <c r="H12" s="274"/>
      <c r="I12" s="275">
        <f>MIN(G12,'Période 4'!C33)</f>
        <v>4</v>
      </c>
      <c r="J12" s="276">
        <f t="shared" ref="J12:J14" si="7">G12-I12</f>
        <v>0</v>
      </c>
      <c r="K12" s="277">
        <v>0.7</v>
      </c>
      <c r="L12" s="278">
        <f t="shared" ref="L12:L15" si="8">J12*K12</f>
        <v>0</v>
      </c>
      <c r="M12" s="279"/>
      <c r="N12" s="234">
        <f t="shared" ref="N12:N15" si="9">J12*K12*$C$16</f>
        <v>0</v>
      </c>
      <c r="O12" s="280">
        <f t="shared" ref="O12:O15" si="10">200 * (I12*K12) * 0.7</f>
        <v>392</v>
      </c>
      <c r="P12" s="242"/>
      <c r="Q12" s="281"/>
      <c r="R12" s="237"/>
      <c r="S12" s="213"/>
      <c r="T12" s="215"/>
      <c r="U12" s="198"/>
      <c r="V12" s="198"/>
      <c r="W12" s="198"/>
      <c r="X12" s="198"/>
      <c r="Y12" s="198"/>
      <c r="Z12" s="198"/>
      <c r="AA12" s="198"/>
      <c r="AB12" s="198"/>
    </row>
    <row r="13" spans="1:28">
      <c r="A13" s="198"/>
      <c r="B13" s="282" t="s">
        <v>319</v>
      </c>
      <c r="C13" s="283" t="s">
        <v>320</v>
      </c>
      <c r="D13" s="198"/>
      <c r="E13" s="326"/>
      <c r="F13" s="227" t="s">
        <v>311</v>
      </c>
      <c r="G13" s="228">
        <f t="shared" si="6"/>
        <v>7</v>
      </c>
      <c r="H13" s="200"/>
      <c r="I13" s="229">
        <f>MIN(MAX('Période 4'!C33-I12,0),G9)</f>
        <v>0</v>
      </c>
      <c r="J13" s="230">
        <f t="shared" si="7"/>
        <v>7</v>
      </c>
      <c r="K13" s="231">
        <v>0.8</v>
      </c>
      <c r="L13" s="232">
        <f t="shared" si="8"/>
        <v>5.6000000000000005</v>
      </c>
      <c r="M13" s="233"/>
      <c r="N13" s="235">
        <f t="shared" si="9"/>
        <v>1120</v>
      </c>
      <c r="O13" s="284">
        <f t="shared" si="10"/>
        <v>0</v>
      </c>
      <c r="P13" s="242"/>
      <c r="Q13" s="281"/>
      <c r="R13" s="243"/>
      <c r="S13" s="213"/>
      <c r="T13" s="215"/>
      <c r="U13" s="198"/>
      <c r="V13" s="198"/>
      <c r="W13" s="198"/>
      <c r="X13" s="198"/>
      <c r="Y13" s="198"/>
      <c r="Z13" s="198"/>
      <c r="AA13" s="198"/>
      <c r="AB13" s="198"/>
    </row>
    <row r="14" spans="1:28">
      <c r="A14" s="198"/>
      <c r="B14" s="213"/>
      <c r="C14" s="215"/>
      <c r="D14" s="198"/>
      <c r="E14" s="326"/>
      <c r="F14" s="227" t="s">
        <v>315</v>
      </c>
      <c r="G14" s="228">
        <f t="shared" si="6"/>
        <v>14</v>
      </c>
      <c r="H14" s="200"/>
      <c r="I14" s="229">
        <f>MIN(MAX('Période 4'!C33-I12-I13,0),G14)</f>
        <v>0</v>
      </c>
      <c r="J14" s="230">
        <f t="shared" si="7"/>
        <v>14</v>
      </c>
      <c r="K14" s="231">
        <v>0.9</v>
      </c>
      <c r="L14" s="232">
        <f t="shared" si="8"/>
        <v>12.6</v>
      </c>
      <c r="M14" s="233"/>
      <c r="N14" s="235">
        <f t="shared" si="9"/>
        <v>2520</v>
      </c>
      <c r="O14" s="284">
        <f t="shared" si="10"/>
        <v>0</v>
      </c>
      <c r="P14" s="242"/>
      <c r="Q14" s="281"/>
      <c r="R14" s="238">
        <f>(J16-MOD(J16,10))*12.5*M16 + IF( (MOD(J16,10))&lt;5, MOD(J16,10)*5*M16, (10+(MOD(J16,10)-5)*0.5)*MOD(J16,10)*M16) * MIN(10,'Période 4'!C42/J7)/10</f>
        <v>417.79459459459463</v>
      </c>
      <c r="S14" s="239" t="s">
        <v>309</v>
      </c>
      <c r="T14" s="285" t="s">
        <v>314</v>
      </c>
      <c r="U14" s="198"/>
      <c r="V14" s="198"/>
      <c r="W14" s="198"/>
      <c r="X14" s="198"/>
      <c r="Y14" s="198"/>
      <c r="Z14" s="198"/>
      <c r="AA14" s="198"/>
      <c r="AB14" s="198"/>
    </row>
    <row r="15" spans="1:28">
      <c r="A15" s="198"/>
      <c r="B15" s="286" t="s">
        <v>321</v>
      </c>
      <c r="C15" s="287" t="s">
        <v>322</v>
      </c>
      <c r="D15" s="198"/>
      <c r="E15" s="326"/>
      <c r="F15" s="227" t="s">
        <v>323</v>
      </c>
      <c r="G15" s="231"/>
      <c r="H15" s="241">
        <f>'Période 4'!C32</f>
        <v>16</v>
      </c>
      <c r="I15" s="231"/>
      <c r="J15" s="230">
        <f>H15</f>
        <v>16</v>
      </c>
      <c r="K15" s="231">
        <v>1</v>
      </c>
      <c r="L15" s="232">
        <f t="shared" si="8"/>
        <v>16</v>
      </c>
      <c r="M15" s="233"/>
      <c r="N15" s="288">
        <f t="shared" si="9"/>
        <v>3200</v>
      </c>
      <c r="O15" s="284">
        <f t="shared" si="10"/>
        <v>0</v>
      </c>
      <c r="P15" s="242"/>
      <c r="Q15" s="281"/>
      <c r="R15" s="244"/>
      <c r="S15" s="239" t="s">
        <v>312</v>
      </c>
      <c r="T15" s="215"/>
      <c r="U15" s="198"/>
      <c r="V15" s="198"/>
      <c r="W15" s="198"/>
      <c r="X15" s="198"/>
      <c r="Y15" s="198"/>
      <c r="Z15" s="198"/>
      <c r="AA15" s="198"/>
      <c r="AB15" s="198"/>
    </row>
    <row r="16" spans="1:28">
      <c r="A16" s="198"/>
      <c r="B16" s="289" t="s">
        <v>324</v>
      </c>
      <c r="C16" s="290">
        <v>200</v>
      </c>
      <c r="D16" s="198"/>
      <c r="E16" s="327"/>
      <c r="F16" s="246"/>
      <c r="G16" s="247"/>
      <c r="H16" s="248"/>
      <c r="I16" s="247"/>
      <c r="J16" s="249">
        <f>SUM(J12:J15)</f>
        <v>37</v>
      </c>
      <c r="K16" s="247"/>
      <c r="L16" s="250">
        <f>SUM(L12:L15)</f>
        <v>34.200000000000003</v>
      </c>
      <c r="M16" s="251">
        <f>L16/J16</f>
        <v>0.92432432432432443</v>
      </c>
      <c r="N16" s="291">
        <f>SUM(N12:N15)</f>
        <v>6840</v>
      </c>
      <c r="O16" s="253">
        <f>SUM(O12:O15)</f>
        <v>392</v>
      </c>
      <c r="P16" s="253">
        <f>$C$16*H15</f>
        <v>3200</v>
      </c>
      <c r="Q16" s="252">
        <f>P16-O16</f>
        <v>2808</v>
      </c>
      <c r="R16" s="255"/>
      <c r="S16" s="213"/>
      <c r="T16" s="215"/>
      <c r="U16" s="198"/>
      <c r="V16" s="198"/>
      <c r="W16" s="198"/>
      <c r="X16" s="198"/>
      <c r="Y16" s="198"/>
      <c r="Z16" s="198"/>
      <c r="AA16" s="198"/>
      <c r="AB16" s="198"/>
    </row>
    <row r="17" spans="1:28">
      <c r="A17" s="198"/>
      <c r="B17" s="292" t="s">
        <v>325</v>
      </c>
      <c r="C17" s="156"/>
      <c r="D17" s="198"/>
      <c r="E17" s="325" t="s">
        <v>326</v>
      </c>
      <c r="F17" s="227" t="s">
        <v>308</v>
      </c>
      <c r="G17" s="256">
        <f t="shared" ref="G17:G20" si="11">J12</f>
        <v>0</v>
      </c>
      <c r="H17" s="200"/>
      <c r="I17" s="257">
        <v>0</v>
      </c>
      <c r="J17" s="258">
        <f t="shared" ref="J17:J20" si="12">G17-I17</f>
        <v>0</v>
      </c>
      <c r="K17" s="231">
        <v>0.6</v>
      </c>
      <c r="L17" s="259">
        <f t="shared" ref="L17:L21" si="13">J17*K17</f>
        <v>0</v>
      </c>
      <c r="M17" s="233"/>
      <c r="N17" s="260">
        <f t="shared" ref="N17:N21" si="14">J17*K17*$C$16</f>
        <v>0</v>
      </c>
      <c r="O17" s="261">
        <f t="shared" ref="O17:O21" si="15">200 * (I17*K17) * 0.7</f>
        <v>0</v>
      </c>
      <c r="P17" s="262"/>
      <c r="Q17" s="281"/>
      <c r="R17" s="243"/>
      <c r="S17" s="213"/>
      <c r="T17" s="215"/>
      <c r="U17" s="198"/>
      <c r="V17" s="198"/>
      <c r="W17" s="198"/>
      <c r="X17" s="198"/>
      <c r="Y17" s="198"/>
      <c r="Z17" s="198"/>
      <c r="AA17" s="198"/>
      <c r="AB17" s="198"/>
    </row>
    <row r="18" spans="1:28">
      <c r="A18" s="198"/>
      <c r="B18" s="198"/>
      <c r="C18" s="198"/>
      <c r="D18" s="198"/>
      <c r="E18" s="326"/>
      <c r="F18" s="227" t="s">
        <v>311</v>
      </c>
      <c r="G18" s="256">
        <f t="shared" si="11"/>
        <v>7</v>
      </c>
      <c r="H18" s="200"/>
      <c r="I18" s="257">
        <v>0</v>
      </c>
      <c r="J18" s="258">
        <f t="shared" si="12"/>
        <v>7</v>
      </c>
      <c r="K18" s="231">
        <v>0.7</v>
      </c>
      <c r="L18" s="259">
        <f t="shared" si="13"/>
        <v>4.8999999999999995</v>
      </c>
      <c r="M18" s="233"/>
      <c r="N18" s="264">
        <f t="shared" si="14"/>
        <v>979.99999999999989</v>
      </c>
      <c r="O18" s="261">
        <f t="shared" si="15"/>
        <v>0</v>
      </c>
      <c r="P18" s="242"/>
      <c r="Q18" s="281"/>
      <c r="R18" s="243"/>
      <c r="S18" s="213"/>
      <c r="T18" s="215"/>
      <c r="U18" s="198"/>
      <c r="V18" s="198"/>
      <c r="W18" s="198"/>
      <c r="X18" s="198"/>
      <c r="Y18" s="198"/>
      <c r="Z18" s="198"/>
      <c r="AA18" s="198"/>
      <c r="AB18" s="198"/>
    </row>
    <row r="19" spans="1:28">
      <c r="A19" s="198"/>
      <c r="B19" s="198"/>
      <c r="C19" s="198"/>
      <c r="D19" s="198"/>
      <c r="E19" s="326"/>
      <c r="F19" s="227" t="s">
        <v>315</v>
      </c>
      <c r="G19" s="256">
        <f t="shared" si="11"/>
        <v>14</v>
      </c>
      <c r="H19" s="200"/>
      <c r="I19" s="257">
        <v>0</v>
      </c>
      <c r="J19" s="258">
        <f t="shared" si="12"/>
        <v>14</v>
      </c>
      <c r="K19" s="231">
        <v>0.8</v>
      </c>
      <c r="L19" s="259">
        <f t="shared" si="13"/>
        <v>11.200000000000001</v>
      </c>
      <c r="M19" s="233"/>
      <c r="N19" s="264">
        <f t="shared" si="14"/>
        <v>2240</v>
      </c>
      <c r="O19" s="261">
        <f t="shared" si="15"/>
        <v>0</v>
      </c>
      <c r="P19" s="242"/>
      <c r="Q19" s="281"/>
      <c r="R19" s="243"/>
      <c r="S19" s="213"/>
      <c r="T19" s="215"/>
      <c r="U19" s="198"/>
      <c r="V19" s="198"/>
      <c r="W19" s="198"/>
      <c r="X19" s="198"/>
      <c r="Y19" s="198"/>
      <c r="Z19" s="198"/>
      <c r="AA19" s="198"/>
      <c r="AB19" s="198"/>
    </row>
    <row r="20" spans="1:28">
      <c r="A20" s="198"/>
      <c r="B20" s="198"/>
      <c r="C20" s="198"/>
      <c r="D20" s="198"/>
      <c r="E20" s="326"/>
      <c r="F20" s="227" t="s">
        <v>323</v>
      </c>
      <c r="G20" s="256">
        <f t="shared" si="11"/>
        <v>16</v>
      </c>
      <c r="H20" s="200"/>
      <c r="I20" s="257">
        <v>0</v>
      </c>
      <c r="J20" s="258">
        <f t="shared" si="12"/>
        <v>16</v>
      </c>
      <c r="K20" s="231">
        <v>0.9</v>
      </c>
      <c r="L20" s="259">
        <f t="shared" si="13"/>
        <v>14.4</v>
      </c>
      <c r="M20" s="233"/>
      <c r="N20" s="264">
        <f t="shared" si="14"/>
        <v>2880</v>
      </c>
      <c r="O20" s="261">
        <f t="shared" si="15"/>
        <v>0</v>
      </c>
      <c r="P20" s="242"/>
      <c r="Q20" s="281"/>
      <c r="R20" s="238">
        <f>(J22-MOD(J22,10))*12.5*M22 + IF( (MOD(J22,10))&lt;5, MOD(J22,10)*5*M22, (10+(MOD(J22,10)-5)*0.5)*MOD(J22,10)*M22)</f>
        <v>372.59459459459458</v>
      </c>
      <c r="S20" s="239" t="s">
        <v>309</v>
      </c>
      <c r="T20" s="293" t="s">
        <v>327</v>
      </c>
      <c r="U20" s="198"/>
      <c r="V20" s="198"/>
      <c r="W20" s="198"/>
      <c r="X20" s="198"/>
      <c r="Y20" s="198"/>
      <c r="Z20" s="198"/>
      <c r="AA20" s="198"/>
      <c r="AB20" s="198"/>
    </row>
    <row r="21" spans="1:28">
      <c r="A21" s="198"/>
      <c r="B21" s="198"/>
      <c r="C21" s="198"/>
      <c r="D21" s="198"/>
      <c r="E21" s="326"/>
      <c r="F21" s="227" t="s">
        <v>328</v>
      </c>
      <c r="G21" s="231"/>
      <c r="H21" s="241">
        <v>0</v>
      </c>
      <c r="I21" s="231"/>
      <c r="J21" s="258">
        <f>H21</f>
        <v>0</v>
      </c>
      <c r="K21" s="231">
        <v>1</v>
      </c>
      <c r="L21" s="259">
        <f t="shared" si="13"/>
        <v>0</v>
      </c>
      <c r="M21" s="233"/>
      <c r="N21" s="294">
        <f t="shared" si="14"/>
        <v>0</v>
      </c>
      <c r="O21" s="261">
        <f t="shared" si="15"/>
        <v>0</v>
      </c>
      <c r="P21" s="242"/>
      <c r="Q21" s="281"/>
      <c r="R21" s="265"/>
      <c r="S21" s="239" t="s">
        <v>312</v>
      </c>
      <c r="T21" s="215"/>
      <c r="U21" s="198"/>
      <c r="V21" s="198"/>
      <c r="W21" s="198"/>
      <c r="X21" s="198"/>
      <c r="Y21" s="198"/>
      <c r="Z21" s="198"/>
      <c r="AA21" s="198"/>
      <c r="AB21" s="198"/>
    </row>
    <row r="22" spans="1:28">
      <c r="A22" s="198"/>
      <c r="B22" s="198"/>
      <c r="C22" s="198"/>
      <c r="D22" s="198"/>
      <c r="E22" s="327"/>
      <c r="F22" s="246"/>
      <c r="G22" s="247"/>
      <c r="H22" s="248"/>
      <c r="I22" s="247"/>
      <c r="J22" s="295">
        <f>SUM(J17:J21)</f>
        <v>37</v>
      </c>
      <c r="K22" s="247"/>
      <c r="L22" s="296">
        <f>SUM(L17:L21)</f>
        <v>30.5</v>
      </c>
      <c r="M22" s="268">
        <f>L22/J22</f>
        <v>0.82432432432432434</v>
      </c>
      <c r="N22" s="297">
        <f>SUM(N17:N21)</f>
        <v>6100</v>
      </c>
      <c r="O22" s="270">
        <f t="shared" ref="O22:P22" si="16">SUM(O17:O21)</f>
        <v>0</v>
      </c>
      <c r="P22" s="270">
        <f t="shared" si="16"/>
        <v>0</v>
      </c>
      <c r="Q22" s="271">
        <f>P22-O22</f>
        <v>0</v>
      </c>
      <c r="R22" s="255"/>
      <c r="S22" s="292"/>
      <c r="T22" s="156"/>
      <c r="U22" s="198"/>
      <c r="V22" s="198"/>
      <c r="W22" s="198"/>
      <c r="X22" s="198"/>
      <c r="Y22" s="198"/>
      <c r="Z22" s="198"/>
      <c r="AA22" s="198"/>
      <c r="AB22" s="198"/>
    </row>
    <row r="23" spans="1:28">
      <c r="A23" s="198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00"/>
      <c r="O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</row>
    <row r="24" spans="1:28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00"/>
      <c r="O24" s="198"/>
      <c r="Q24" s="2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</row>
    <row r="25" spans="1:28">
      <c r="A25" s="198"/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200"/>
      <c r="O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</row>
    <row r="26" spans="1:28">
      <c r="A26" s="198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/>
      <c r="O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</row>
    <row r="27" spans="1:28">
      <c r="A27" s="198"/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200"/>
      <c r="O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</row>
    <row r="28" spans="1:28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200"/>
      <c r="O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</row>
    <row r="29" spans="1:28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200"/>
      <c r="O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</row>
    <row r="30" spans="1:28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200"/>
      <c r="O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</row>
    <row r="31" spans="1:28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200"/>
      <c r="O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</row>
    <row r="32" spans="1:28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00"/>
      <c r="O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</row>
    <row r="33" spans="1:28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00"/>
      <c r="O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</row>
    <row r="34" spans="1:28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200"/>
      <c r="O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</row>
    <row r="35" spans="1:28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200"/>
      <c r="O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</row>
    <row r="36" spans="1:28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200"/>
      <c r="O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</row>
    <row r="37" spans="1:28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200"/>
      <c r="O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</row>
    <row r="38" spans="1:28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200"/>
      <c r="O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</row>
    <row r="39" spans="1:28">
      <c r="A39" s="198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200"/>
      <c r="O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</row>
    <row r="40" spans="1:28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00"/>
      <c r="O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</row>
    <row r="41" spans="1:28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00"/>
      <c r="O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</row>
    <row r="42" spans="1:28">
      <c r="A42" s="198"/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200"/>
      <c r="O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</row>
    <row r="43" spans="1:28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200"/>
      <c r="O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</row>
    <row r="44" spans="1:28">
      <c r="A44" s="198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200"/>
      <c r="O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</row>
    <row r="45" spans="1:28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200"/>
      <c r="O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</row>
    <row r="46" spans="1:28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200"/>
      <c r="O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</row>
    <row r="47" spans="1:28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00"/>
      <c r="O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</row>
    <row r="48" spans="1:28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00"/>
      <c r="O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</row>
    <row r="49" spans="1:28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200"/>
      <c r="O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</row>
    <row r="50" spans="1:28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200"/>
      <c r="O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</row>
    <row r="51" spans="1:28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200"/>
      <c r="O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</row>
    <row r="52" spans="1:28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200"/>
      <c r="O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</row>
    <row r="53" spans="1:28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200"/>
      <c r="O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</row>
    <row r="54" spans="1:28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200"/>
      <c r="O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</row>
    <row r="55" spans="1:28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200"/>
      <c r="O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</row>
    <row r="56" spans="1:28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200"/>
      <c r="O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</row>
    <row r="57" spans="1:28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00"/>
      <c r="O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</row>
    <row r="58" spans="1:28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00"/>
      <c r="O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</row>
    <row r="59" spans="1:28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200"/>
      <c r="O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</row>
    <row r="60" spans="1:28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200"/>
      <c r="O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</row>
    <row r="61" spans="1:28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200"/>
      <c r="O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</row>
    <row r="62" spans="1:28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200"/>
      <c r="O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</row>
    <row r="63" spans="1:28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00"/>
      <c r="O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</row>
    <row r="64" spans="1:28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00"/>
      <c r="O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</row>
    <row r="65" spans="1:28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200"/>
      <c r="O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</row>
    <row r="66" spans="1:28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200"/>
      <c r="O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</row>
    <row r="67" spans="1:28">
      <c r="A67" s="198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200"/>
      <c r="O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</row>
    <row r="68" spans="1:28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00"/>
      <c r="O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</row>
    <row r="69" spans="1:28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00"/>
      <c r="O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</row>
    <row r="70" spans="1:28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200"/>
      <c r="O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</row>
    <row r="71" spans="1:28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200"/>
      <c r="O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</row>
    <row r="72" spans="1:28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200"/>
      <c r="O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</row>
    <row r="73" spans="1:28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200"/>
      <c r="O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</row>
    <row r="74" spans="1:28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00"/>
      <c r="O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</row>
    <row r="75" spans="1:28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00"/>
      <c r="O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</row>
    <row r="76" spans="1:28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200"/>
      <c r="O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</row>
    <row r="77" spans="1:28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200"/>
      <c r="O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</row>
    <row r="78" spans="1:28">
      <c r="A78" s="198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200"/>
      <c r="O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</row>
    <row r="79" spans="1:28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200"/>
      <c r="O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</row>
    <row r="80" spans="1:28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200"/>
      <c r="O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</row>
    <row r="81" spans="1:28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200"/>
      <c r="O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</row>
    <row r="82" spans="1:28">
      <c r="A82" s="198"/>
      <c r="B82" s="198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200"/>
      <c r="O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</row>
    <row r="83" spans="1:28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200"/>
      <c r="O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</row>
    <row r="84" spans="1:28">
      <c r="A84" s="19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00"/>
      <c r="O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</row>
    <row r="85" spans="1:28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00"/>
      <c r="O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</row>
    <row r="86" spans="1:28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200"/>
      <c r="O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</row>
    <row r="87" spans="1:28">
      <c r="A87" s="198"/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200"/>
      <c r="O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</row>
    <row r="88" spans="1:28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200"/>
      <c r="O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</row>
    <row r="89" spans="1:28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200"/>
      <c r="O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</row>
    <row r="90" spans="1:28">
      <c r="A90" s="198"/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200"/>
      <c r="O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</row>
    <row r="91" spans="1:28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00"/>
      <c r="O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</row>
    <row r="92" spans="1:28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00"/>
      <c r="O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</row>
    <row r="93" spans="1:28">
      <c r="A93" s="198"/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200"/>
      <c r="O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</row>
    <row r="94" spans="1:28">
      <c r="A94" s="198"/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200"/>
      <c r="O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</row>
    <row r="95" spans="1:28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200"/>
      <c r="O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</row>
    <row r="96" spans="1:28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200"/>
      <c r="O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</row>
    <row r="97" spans="1:28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200"/>
      <c r="O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</row>
    <row r="98" spans="1:28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200"/>
      <c r="O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</row>
    <row r="99" spans="1:28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00"/>
      <c r="O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</row>
    <row r="100" spans="1:28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00"/>
      <c r="O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</row>
    <row r="101" spans="1:28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00"/>
      <c r="O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</row>
    <row r="102" spans="1:28">
      <c r="A102" s="198"/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200"/>
      <c r="O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</row>
    <row r="103" spans="1:28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200"/>
      <c r="O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</row>
    <row r="104" spans="1:28">
      <c r="A104" s="198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200"/>
      <c r="O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</row>
    <row r="105" spans="1:28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00"/>
      <c r="O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</row>
    <row r="106" spans="1:28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00"/>
      <c r="O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</row>
    <row r="107" spans="1:28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00"/>
      <c r="O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  <c r="AB107" s="198"/>
    </row>
    <row r="108" spans="1:28">
      <c r="A108" s="198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200"/>
      <c r="O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</row>
    <row r="109" spans="1:28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200"/>
      <c r="O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</row>
    <row r="110" spans="1:28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00"/>
      <c r="O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</row>
    <row r="111" spans="1:28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00"/>
      <c r="O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</row>
    <row r="112" spans="1:28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00"/>
      <c r="O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</row>
    <row r="113" spans="1:28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200"/>
      <c r="O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</row>
    <row r="114" spans="1:28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200"/>
      <c r="O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</row>
    <row r="115" spans="1:28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200"/>
      <c r="O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</row>
    <row r="116" spans="1:28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200"/>
      <c r="O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</row>
    <row r="117" spans="1:28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200"/>
      <c r="O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</row>
    <row r="118" spans="1:28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00"/>
      <c r="O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</row>
    <row r="119" spans="1:28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00"/>
      <c r="O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</row>
    <row r="120" spans="1:28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00"/>
      <c r="O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</row>
    <row r="121" spans="1:28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200"/>
      <c r="O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</row>
    <row r="122" spans="1:28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200"/>
      <c r="O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</row>
    <row r="123" spans="1:28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00"/>
      <c r="O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  <c r="AB123" s="198"/>
    </row>
    <row r="124" spans="1:28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00"/>
      <c r="O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  <c r="AB124" s="198"/>
    </row>
    <row r="125" spans="1:28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00"/>
      <c r="O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</row>
    <row r="126" spans="1:28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200"/>
      <c r="O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</row>
    <row r="127" spans="1:28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200"/>
      <c r="O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</row>
    <row r="128" spans="1:28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200"/>
      <c r="O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  <c r="AB128" s="198"/>
    </row>
    <row r="129" spans="1:28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00"/>
      <c r="O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</row>
    <row r="130" spans="1:28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00"/>
      <c r="O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</row>
    <row r="131" spans="1:28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00"/>
      <c r="O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</row>
    <row r="132" spans="1:28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200"/>
      <c r="O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</row>
    <row r="133" spans="1:28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200"/>
      <c r="O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  <c r="AB133" s="198"/>
    </row>
    <row r="134" spans="1:28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00"/>
      <c r="O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  <c r="AB134" s="198"/>
    </row>
    <row r="135" spans="1:28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00"/>
      <c r="O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  <c r="AB135" s="198"/>
    </row>
    <row r="136" spans="1:28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00"/>
      <c r="O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  <c r="AB136" s="198"/>
    </row>
    <row r="137" spans="1:28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200"/>
      <c r="O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  <c r="AB137" s="198"/>
    </row>
    <row r="138" spans="1:28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200"/>
      <c r="O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  <c r="AB138" s="198"/>
    </row>
    <row r="139" spans="1:28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200"/>
      <c r="O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98"/>
    </row>
    <row r="140" spans="1:28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00"/>
      <c r="O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</row>
    <row r="141" spans="1:28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00"/>
      <c r="O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</row>
    <row r="142" spans="1:28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00"/>
      <c r="O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  <c r="AB142" s="198"/>
    </row>
    <row r="143" spans="1:28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200"/>
      <c r="O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  <c r="AB143" s="198"/>
    </row>
    <row r="144" spans="1:28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200"/>
      <c r="O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</row>
    <row r="145" spans="1:28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00"/>
      <c r="O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  <c r="AB145" s="198"/>
    </row>
    <row r="146" spans="1:28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00"/>
      <c r="O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</row>
    <row r="147" spans="1:28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00"/>
      <c r="O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</row>
    <row r="148" spans="1:28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200"/>
      <c r="O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</row>
    <row r="149" spans="1:28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200"/>
      <c r="O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  <c r="AB149" s="198"/>
    </row>
    <row r="150" spans="1:28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200"/>
      <c r="O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</row>
    <row r="151" spans="1:28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200"/>
      <c r="O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</row>
    <row r="152" spans="1:28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200"/>
      <c r="O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</row>
    <row r="153" spans="1:28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00"/>
      <c r="O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</row>
    <row r="154" spans="1:28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00"/>
      <c r="O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</row>
    <row r="155" spans="1:28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00"/>
      <c r="O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</row>
    <row r="156" spans="1:28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200"/>
      <c r="O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</row>
    <row r="157" spans="1:28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200"/>
      <c r="O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</row>
    <row r="158" spans="1:28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00"/>
      <c r="O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</row>
    <row r="159" spans="1:28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00"/>
      <c r="O159" s="198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  <c r="AB159" s="198"/>
    </row>
    <row r="160" spans="1:28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00"/>
      <c r="O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</row>
    <row r="161" spans="1:28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200"/>
      <c r="O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</row>
    <row r="162" spans="1:28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200"/>
      <c r="O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</row>
    <row r="163" spans="1:28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200"/>
      <c r="O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</row>
    <row r="164" spans="1:28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200"/>
      <c r="O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</row>
    <row r="165" spans="1:28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00"/>
      <c r="O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</row>
    <row r="166" spans="1:28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00"/>
      <c r="O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</row>
    <row r="167" spans="1:28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00"/>
      <c r="O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</row>
    <row r="168" spans="1:28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200"/>
      <c r="O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</row>
    <row r="169" spans="1:28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200"/>
      <c r="O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</row>
    <row r="170" spans="1:28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00"/>
      <c r="O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</row>
    <row r="171" spans="1:28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00"/>
      <c r="O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  <c r="AB171" s="198"/>
    </row>
    <row r="172" spans="1:28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00"/>
      <c r="O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</row>
    <row r="173" spans="1:28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200"/>
      <c r="O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</row>
    <row r="174" spans="1:28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200"/>
      <c r="O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  <c r="AB174" s="198"/>
    </row>
    <row r="175" spans="1:28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00"/>
      <c r="O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</row>
    <row r="176" spans="1:28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00"/>
      <c r="O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  <c r="AB176" s="198"/>
    </row>
    <row r="177" spans="1:28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00"/>
      <c r="O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98"/>
      <c r="AA177" s="198"/>
      <c r="AB177" s="198"/>
    </row>
    <row r="178" spans="1:28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200"/>
      <c r="O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98"/>
      <c r="AA178" s="198"/>
      <c r="AB178" s="198"/>
    </row>
    <row r="179" spans="1:28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200"/>
      <c r="O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98"/>
      <c r="AA179" s="198"/>
      <c r="AB179" s="198"/>
    </row>
    <row r="180" spans="1:28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00"/>
      <c r="O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  <c r="AB180" s="198"/>
    </row>
    <row r="181" spans="1:28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00"/>
      <c r="O181" s="198"/>
      <c r="Q181" s="198"/>
      <c r="R181" s="198"/>
      <c r="S181" s="198"/>
      <c r="T181" s="198"/>
      <c r="U181" s="198"/>
      <c r="V181" s="198"/>
      <c r="W181" s="198"/>
      <c r="X181" s="198"/>
      <c r="Y181" s="198"/>
      <c r="Z181" s="198"/>
      <c r="AA181" s="198"/>
      <c r="AB181" s="198"/>
    </row>
    <row r="182" spans="1:28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00"/>
      <c r="O182" s="198"/>
      <c r="Q182" s="198"/>
      <c r="R182" s="198"/>
      <c r="S182" s="198"/>
      <c r="T182" s="198"/>
      <c r="U182" s="198"/>
      <c r="V182" s="198"/>
      <c r="W182" s="198"/>
      <c r="X182" s="198"/>
      <c r="Y182" s="198"/>
      <c r="Z182" s="198"/>
      <c r="AA182" s="198"/>
      <c r="AB182" s="198"/>
    </row>
    <row r="183" spans="1:28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200"/>
      <c r="O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98"/>
      <c r="AA183" s="198"/>
      <c r="AB183" s="198"/>
    </row>
    <row r="184" spans="1:28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200"/>
      <c r="O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</row>
    <row r="185" spans="1:28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200"/>
      <c r="O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98"/>
      <c r="AA185" s="198"/>
      <c r="AB185" s="198"/>
    </row>
    <row r="186" spans="1:28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200"/>
      <c r="O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</row>
    <row r="187" spans="1:28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00"/>
      <c r="O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</row>
    <row r="188" spans="1:28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00"/>
      <c r="O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</row>
    <row r="189" spans="1:28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00"/>
      <c r="O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</row>
    <row r="190" spans="1:28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200"/>
      <c r="O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</row>
    <row r="191" spans="1:28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200"/>
      <c r="O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</row>
    <row r="192" spans="1:28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200"/>
      <c r="O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</row>
    <row r="193" spans="1:28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200"/>
      <c r="O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</row>
    <row r="194" spans="1:28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00"/>
      <c r="O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</row>
    <row r="195" spans="1:28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00"/>
      <c r="O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</row>
    <row r="196" spans="1:28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00"/>
      <c r="O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  <c r="AB196" s="198"/>
    </row>
    <row r="197" spans="1:28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200"/>
      <c r="O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98"/>
      <c r="AA197" s="198"/>
      <c r="AB197" s="198"/>
    </row>
    <row r="198" spans="1:28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200"/>
      <c r="O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</row>
    <row r="199" spans="1:28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200"/>
      <c r="O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</row>
    <row r="200" spans="1:28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200"/>
      <c r="O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</row>
    <row r="201" spans="1:28">
      <c r="A201" s="198"/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200"/>
      <c r="O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</row>
    <row r="202" spans="1:28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200"/>
      <c r="O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</row>
    <row r="203" spans="1:28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200"/>
      <c r="O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</row>
    <row r="204" spans="1:28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00"/>
      <c r="O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</row>
    <row r="205" spans="1:28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00"/>
      <c r="O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</row>
    <row r="206" spans="1:28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00"/>
      <c r="O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</row>
    <row r="207" spans="1:28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200"/>
      <c r="O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</row>
    <row r="208" spans="1:28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200"/>
      <c r="O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</row>
    <row r="209" spans="1:28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200"/>
      <c r="O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</row>
    <row r="210" spans="1:28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200"/>
      <c r="O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</row>
    <row r="211" spans="1:28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200"/>
      <c r="O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</row>
    <row r="212" spans="1:28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00"/>
      <c r="O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</row>
    <row r="213" spans="1:28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00"/>
      <c r="O213" s="198"/>
      <c r="Q213" s="198"/>
      <c r="R213" s="198"/>
      <c r="S213" s="198"/>
      <c r="T213" s="198"/>
      <c r="U213" s="198"/>
      <c r="V213" s="198"/>
      <c r="W213" s="198"/>
      <c r="X213" s="198"/>
      <c r="Y213" s="198"/>
      <c r="Z213" s="198"/>
      <c r="AA213" s="198"/>
      <c r="AB213" s="198"/>
    </row>
    <row r="214" spans="1:28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00"/>
      <c r="O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8"/>
      <c r="AA214" s="198"/>
      <c r="AB214" s="198"/>
    </row>
    <row r="215" spans="1:28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200"/>
      <c r="O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  <c r="AB215" s="198"/>
    </row>
    <row r="216" spans="1:28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200"/>
      <c r="O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98"/>
      <c r="AA216" s="198"/>
      <c r="AB216" s="198"/>
    </row>
    <row r="217" spans="1:28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00"/>
      <c r="O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</row>
    <row r="218" spans="1:28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00"/>
      <c r="O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  <c r="AB218" s="198"/>
    </row>
    <row r="219" spans="1:28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00"/>
      <c r="O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</row>
    <row r="220" spans="1:28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200"/>
      <c r="O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  <c r="AB220" s="198"/>
    </row>
    <row r="221" spans="1:28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200"/>
      <c r="O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  <c r="AB221" s="198"/>
    </row>
    <row r="222" spans="1:28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200"/>
      <c r="O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</row>
    <row r="223" spans="1:28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00"/>
      <c r="O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</row>
    <row r="224" spans="1:28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00"/>
      <c r="O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</row>
    <row r="225" spans="1:28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00"/>
      <c r="O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</row>
    <row r="226" spans="1:28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200"/>
      <c r="O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</row>
    <row r="227" spans="1:28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200"/>
      <c r="O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</row>
    <row r="228" spans="1:28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200"/>
      <c r="O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</row>
    <row r="229" spans="1:28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00"/>
      <c r="O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</row>
    <row r="230" spans="1:28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00"/>
      <c r="O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</row>
    <row r="231" spans="1:28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00"/>
      <c r="O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</row>
    <row r="232" spans="1:28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200"/>
      <c r="O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</row>
    <row r="233" spans="1:28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200"/>
      <c r="O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</row>
    <row r="234" spans="1:28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200"/>
      <c r="O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</row>
    <row r="235" spans="1:28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00"/>
      <c r="O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  <c r="AB235" s="198"/>
    </row>
    <row r="236" spans="1:28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00"/>
      <c r="O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</row>
    <row r="237" spans="1:28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00"/>
      <c r="O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</row>
    <row r="238" spans="1:28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200"/>
      <c r="O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</row>
    <row r="239" spans="1:28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200"/>
      <c r="O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</row>
    <row r="240" spans="1:28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00"/>
      <c r="O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</row>
    <row r="241" spans="1:28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00"/>
      <c r="O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</row>
    <row r="242" spans="1:28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00"/>
      <c r="O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</row>
    <row r="243" spans="1:28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200"/>
      <c r="O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</row>
    <row r="244" spans="1:28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200"/>
      <c r="O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  <c r="AB244" s="198"/>
    </row>
    <row r="245" spans="1:28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200"/>
      <c r="O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</row>
    <row r="246" spans="1:28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200"/>
      <c r="O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  <c r="AB246" s="198"/>
    </row>
    <row r="247" spans="1:28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00"/>
      <c r="O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</row>
    <row r="248" spans="1:28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00"/>
      <c r="O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  <c r="AB248" s="198"/>
    </row>
    <row r="249" spans="1:28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00"/>
      <c r="O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98"/>
      <c r="AA249" s="198"/>
      <c r="AB249" s="198"/>
    </row>
    <row r="250" spans="1:28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200"/>
      <c r="O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98"/>
      <c r="AA250" s="198"/>
      <c r="AB250" s="198"/>
    </row>
    <row r="251" spans="1:28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200"/>
      <c r="O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98"/>
      <c r="AA251" s="198"/>
      <c r="AB251" s="198"/>
    </row>
    <row r="252" spans="1:28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00"/>
      <c r="O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98"/>
      <c r="AA252" s="198"/>
      <c r="AB252" s="198"/>
    </row>
    <row r="253" spans="1:28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00"/>
      <c r="O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</row>
    <row r="254" spans="1:28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00"/>
      <c r="O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  <c r="AB254" s="198"/>
    </row>
    <row r="255" spans="1:28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200"/>
      <c r="O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</row>
    <row r="256" spans="1:28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200"/>
      <c r="O256" s="198"/>
      <c r="Q256" s="198"/>
      <c r="R256" s="198"/>
      <c r="S256" s="198"/>
      <c r="T256" s="198"/>
      <c r="U256" s="198"/>
      <c r="V256" s="198"/>
      <c r="W256" s="198"/>
      <c r="X256" s="198"/>
      <c r="Y256" s="198"/>
      <c r="Z256" s="198"/>
      <c r="AA256" s="198"/>
      <c r="AB256" s="198"/>
    </row>
    <row r="257" spans="1:28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00"/>
      <c r="O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</row>
    <row r="258" spans="1:28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00"/>
      <c r="O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</row>
    <row r="259" spans="1:28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00"/>
      <c r="O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</row>
    <row r="260" spans="1:28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200"/>
      <c r="O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</row>
    <row r="261" spans="1:28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200"/>
      <c r="O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</row>
    <row r="262" spans="1:28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200"/>
      <c r="O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</row>
    <row r="263" spans="1:28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200"/>
      <c r="O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</row>
    <row r="264" spans="1:28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00"/>
      <c r="O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</row>
    <row r="265" spans="1:28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00"/>
      <c r="O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</row>
    <row r="266" spans="1:28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00"/>
      <c r="O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</row>
    <row r="267" spans="1:28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200"/>
      <c r="O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98"/>
      <c r="AA267" s="198"/>
      <c r="AB267" s="198"/>
    </row>
    <row r="268" spans="1:28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200"/>
      <c r="O268" s="198"/>
      <c r="Q268" s="198"/>
      <c r="R268" s="198"/>
      <c r="S268" s="198"/>
      <c r="T268" s="198"/>
      <c r="U268" s="198"/>
      <c r="V268" s="198"/>
      <c r="W268" s="198"/>
      <c r="X268" s="198"/>
      <c r="Y268" s="198"/>
      <c r="Z268" s="198"/>
      <c r="AA268" s="198"/>
      <c r="AB268" s="198"/>
    </row>
    <row r="269" spans="1:28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200"/>
      <c r="O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98"/>
      <c r="AA269" s="198"/>
      <c r="AB269" s="198"/>
    </row>
    <row r="270" spans="1:28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200"/>
      <c r="O270" s="198"/>
      <c r="Q270" s="198"/>
      <c r="R270" s="198"/>
      <c r="S270" s="198"/>
      <c r="T270" s="198"/>
      <c r="U270" s="198"/>
      <c r="V270" s="198"/>
      <c r="W270" s="198"/>
      <c r="X270" s="198"/>
      <c r="Y270" s="198"/>
      <c r="Z270" s="198"/>
      <c r="AA270" s="198"/>
      <c r="AB270" s="198"/>
    </row>
    <row r="271" spans="1:28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200"/>
      <c r="O271" s="198"/>
      <c r="Q271" s="198"/>
      <c r="R271" s="198"/>
      <c r="S271" s="198"/>
      <c r="T271" s="198"/>
      <c r="U271" s="198"/>
      <c r="V271" s="198"/>
      <c r="W271" s="198"/>
      <c r="X271" s="198"/>
      <c r="Y271" s="198"/>
      <c r="Z271" s="198"/>
      <c r="AA271" s="198"/>
      <c r="AB271" s="198"/>
    </row>
    <row r="272" spans="1:28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200"/>
      <c r="O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</row>
    <row r="273" spans="1:28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200"/>
      <c r="O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</row>
    <row r="274" spans="1:28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200"/>
      <c r="O274" s="198"/>
      <c r="Q274" s="198"/>
      <c r="R274" s="198"/>
      <c r="S274" s="198"/>
      <c r="T274" s="198"/>
      <c r="U274" s="198"/>
      <c r="V274" s="198"/>
      <c r="W274" s="198"/>
      <c r="X274" s="198"/>
      <c r="Y274" s="198"/>
      <c r="Z274" s="198"/>
      <c r="AA274" s="198"/>
      <c r="AB274" s="198"/>
    </row>
    <row r="275" spans="1:28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200"/>
      <c r="O275" s="198"/>
      <c r="Q275" s="198"/>
      <c r="R275" s="198"/>
      <c r="S275" s="198"/>
      <c r="T275" s="198"/>
      <c r="U275" s="198"/>
      <c r="V275" s="198"/>
      <c r="W275" s="198"/>
      <c r="X275" s="198"/>
      <c r="Y275" s="198"/>
      <c r="Z275" s="198"/>
      <c r="AA275" s="198"/>
      <c r="AB275" s="198"/>
    </row>
    <row r="276" spans="1:28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200"/>
      <c r="O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  <c r="AB276" s="198"/>
    </row>
    <row r="277" spans="1:28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200"/>
      <c r="O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</row>
    <row r="278" spans="1:28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200"/>
      <c r="O278" s="198"/>
      <c r="Q278" s="198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  <c r="AB278" s="198"/>
    </row>
    <row r="279" spans="1:28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200"/>
      <c r="O279" s="198"/>
      <c r="Q279" s="198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  <c r="AB279" s="198"/>
    </row>
    <row r="280" spans="1:28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200"/>
      <c r="O280" s="198"/>
      <c r="Q280" s="198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  <c r="AB280" s="198"/>
    </row>
    <row r="281" spans="1:28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200"/>
      <c r="O281" s="198"/>
      <c r="Q281" s="198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  <c r="AB281" s="198"/>
    </row>
    <row r="282" spans="1:28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200"/>
      <c r="O282" s="198"/>
      <c r="Q282" s="198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  <c r="AB282" s="198"/>
    </row>
    <row r="283" spans="1:28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200"/>
      <c r="O283" s="198"/>
      <c r="Q283" s="198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  <c r="AB283" s="198"/>
    </row>
    <row r="284" spans="1:28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200"/>
      <c r="O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  <c r="AB284" s="198"/>
    </row>
    <row r="285" spans="1:28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200"/>
      <c r="O285" s="198"/>
      <c r="Q285" s="198"/>
      <c r="R285" s="198"/>
      <c r="S285" s="198"/>
      <c r="T285" s="198"/>
      <c r="U285" s="198"/>
      <c r="V285" s="198"/>
      <c r="W285" s="198"/>
      <c r="X285" s="198"/>
      <c r="Y285" s="198"/>
      <c r="Z285" s="198"/>
      <c r="AA285" s="198"/>
      <c r="AB285" s="198"/>
    </row>
    <row r="286" spans="1:28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200"/>
      <c r="O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  <c r="AB286" s="198"/>
    </row>
    <row r="287" spans="1:28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00"/>
      <c r="O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  <c r="AB287" s="198"/>
    </row>
    <row r="288" spans="1:28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00"/>
      <c r="O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  <c r="AB288" s="198"/>
    </row>
    <row r="289" spans="1:28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00"/>
      <c r="O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  <c r="AB289" s="198"/>
    </row>
    <row r="290" spans="1:28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00"/>
      <c r="O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  <c r="AB290" s="198"/>
    </row>
    <row r="291" spans="1:28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00"/>
      <c r="O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8"/>
      <c r="AB291" s="198"/>
    </row>
    <row r="292" spans="1:28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00"/>
      <c r="O292" s="198"/>
      <c r="Q292" s="198"/>
      <c r="R292" s="198"/>
      <c r="S292" s="198"/>
      <c r="T292" s="198"/>
      <c r="U292" s="198"/>
      <c r="V292" s="198"/>
      <c r="W292" s="198"/>
      <c r="X292" s="198"/>
      <c r="Y292" s="198"/>
      <c r="Z292" s="198"/>
      <c r="AA292" s="198"/>
      <c r="AB292" s="198"/>
    </row>
    <row r="293" spans="1:28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00"/>
      <c r="O293" s="198"/>
      <c r="Q293" s="198"/>
      <c r="R293" s="198"/>
      <c r="S293" s="198"/>
      <c r="T293" s="198"/>
      <c r="U293" s="198"/>
      <c r="V293" s="198"/>
      <c r="W293" s="198"/>
      <c r="X293" s="198"/>
      <c r="Y293" s="198"/>
      <c r="Z293" s="198"/>
      <c r="AA293" s="198"/>
      <c r="AB293" s="198"/>
    </row>
    <row r="294" spans="1:28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00"/>
      <c r="O294" s="198"/>
      <c r="Q294" s="198"/>
      <c r="R294" s="198"/>
      <c r="S294" s="198"/>
      <c r="T294" s="198"/>
      <c r="U294" s="198"/>
      <c r="V294" s="198"/>
      <c r="W294" s="198"/>
      <c r="X294" s="198"/>
      <c r="Y294" s="198"/>
      <c r="Z294" s="198"/>
      <c r="AA294" s="198"/>
      <c r="AB294" s="198"/>
    </row>
    <row r="295" spans="1:28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00"/>
      <c r="O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  <c r="AB295" s="198"/>
    </row>
    <row r="296" spans="1:28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200"/>
      <c r="O296" s="198"/>
      <c r="Q296" s="198"/>
      <c r="R296" s="198"/>
      <c r="S296" s="198"/>
      <c r="T296" s="198"/>
      <c r="U296" s="198"/>
      <c r="V296" s="198"/>
      <c r="W296" s="198"/>
      <c r="X296" s="198"/>
      <c r="Y296" s="198"/>
      <c r="Z296" s="198"/>
      <c r="AA296" s="198"/>
      <c r="AB296" s="198"/>
    </row>
    <row r="297" spans="1:28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200"/>
      <c r="O297" s="198"/>
      <c r="Q297" s="198"/>
      <c r="R297" s="198"/>
      <c r="S297" s="198"/>
      <c r="T297" s="198"/>
      <c r="U297" s="198"/>
      <c r="V297" s="198"/>
      <c r="W297" s="198"/>
      <c r="X297" s="198"/>
      <c r="Y297" s="198"/>
      <c r="Z297" s="198"/>
      <c r="AA297" s="198"/>
      <c r="AB297" s="198"/>
    </row>
    <row r="298" spans="1:28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200"/>
      <c r="O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  <c r="AB298" s="198"/>
    </row>
    <row r="299" spans="1:28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200"/>
      <c r="O299" s="198"/>
      <c r="Q299" s="198"/>
      <c r="R299" s="198"/>
      <c r="S299" s="198"/>
      <c r="T299" s="198"/>
      <c r="U299" s="198"/>
      <c r="V299" s="198"/>
      <c r="W299" s="198"/>
      <c r="X299" s="198"/>
      <c r="Y299" s="198"/>
      <c r="Z299" s="198"/>
      <c r="AA299" s="198"/>
      <c r="AB299" s="198"/>
    </row>
    <row r="300" spans="1:28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200"/>
      <c r="O300" s="198"/>
      <c r="Q300" s="198"/>
      <c r="R300" s="198"/>
      <c r="S300" s="198"/>
      <c r="T300" s="198"/>
      <c r="U300" s="198"/>
      <c r="V300" s="198"/>
      <c r="W300" s="198"/>
      <c r="X300" s="198"/>
      <c r="Y300" s="198"/>
      <c r="Z300" s="198"/>
      <c r="AA300" s="198"/>
      <c r="AB300" s="198"/>
    </row>
    <row r="301" spans="1:28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200"/>
      <c r="O301" s="198"/>
      <c r="Q301" s="198"/>
      <c r="R301" s="198"/>
      <c r="S301" s="198"/>
      <c r="T301" s="198"/>
      <c r="U301" s="198"/>
      <c r="V301" s="198"/>
      <c r="W301" s="198"/>
      <c r="X301" s="198"/>
      <c r="Y301" s="198"/>
      <c r="Z301" s="198"/>
      <c r="AA301" s="198"/>
      <c r="AB301" s="198"/>
    </row>
    <row r="302" spans="1:28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200"/>
      <c r="O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  <c r="AB302" s="198"/>
    </row>
    <row r="303" spans="1:28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200"/>
      <c r="O303" s="198"/>
      <c r="Q303" s="198"/>
      <c r="R303" s="198"/>
      <c r="S303" s="198"/>
      <c r="T303" s="198"/>
      <c r="U303" s="198"/>
      <c r="V303" s="198"/>
      <c r="W303" s="198"/>
      <c r="X303" s="198"/>
      <c r="Y303" s="198"/>
      <c r="Z303" s="198"/>
      <c r="AA303" s="198"/>
      <c r="AB303" s="198"/>
    </row>
    <row r="304" spans="1:28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200"/>
      <c r="O304" s="198"/>
      <c r="Q304" s="198"/>
      <c r="R304" s="198"/>
      <c r="S304" s="198"/>
      <c r="T304" s="198"/>
      <c r="U304" s="198"/>
      <c r="V304" s="198"/>
      <c r="W304" s="198"/>
      <c r="X304" s="198"/>
      <c r="Y304" s="198"/>
      <c r="Z304" s="198"/>
      <c r="AA304" s="198"/>
      <c r="AB304" s="198"/>
    </row>
    <row r="305" spans="1:28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200"/>
      <c r="O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</row>
    <row r="306" spans="1:28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200"/>
      <c r="O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8"/>
      <c r="AB306" s="198"/>
    </row>
    <row r="307" spans="1:28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200"/>
      <c r="O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  <c r="AB307" s="198"/>
    </row>
    <row r="308" spans="1:28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200"/>
      <c r="O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198"/>
      <c r="AA308" s="198"/>
      <c r="AB308" s="198"/>
    </row>
    <row r="309" spans="1:28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200"/>
      <c r="O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198"/>
      <c r="AA309" s="198"/>
      <c r="AB309" s="198"/>
    </row>
    <row r="310" spans="1:28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200"/>
      <c r="O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  <c r="AB310" s="198"/>
    </row>
    <row r="311" spans="1:28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200"/>
      <c r="O311" s="198"/>
      <c r="Q311" s="198"/>
      <c r="R311" s="198"/>
      <c r="S311" s="198"/>
      <c r="T311" s="198"/>
      <c r="U311" s="198"/>
      <c r="V311" s="198"/>
      <c r="W311" s="198"/>
      <c r="X311" s="198"/>
      <c r="Y311" s="198"/>
      <c r="Z311" s="198"/>
      <c r="AA311" s="198"/>
      <c r="AB311" s="198"/>
    </row>
    <row r="312" spans="1:28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200"/>
      <c r="O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</row>
    <row r="313" spans="1:28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200"/>
      <c r="O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</row>
    <row r="314" spans="1:28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200"/>
      <c r="O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</row>
    <row r="315" spans="1:28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200"/>
      <c r="O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</row>
    <row r="316" spans="1:28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200"/>
      <c r="O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</row>
    <row r="317" spans="1:28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200"/>
      <c r="O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</row>
    <row r="318" spans="1:28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200"/>
      <c r="O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</row>
    <row r="319" spans="1:28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200"/>
      <c r="O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</row>
    <row r="320" spans="1:28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200"/>
      <c r="O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</row>
    <row r="321" spans="1:28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200"/>
      <c r="O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  <c r="AB321" s="198"/>
    </row>
    <row r="322" spans="1:28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200"/>
      <c r="O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  <c r="AB322" s="198"/>
    </row>
    <row r="323" spans="1:28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200"/>
      <c r="O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  <c r="AB323" s="198"/>
    </row>
    <row r="324" spans="1:28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200"/>
      <c r="O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  <c r="AB324" s="198"/>
    </row>
    <row r="325" spans="1:28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200"/>
      <c r="O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  <c r="AB325" s="198"/>
    </row>
    <row r="326" spans="1:28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200"/>
      <c r="O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  <c r="AB326" s="198"/>
    </row>
    <row r="327" spans="1:28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200"/>
      <c r="O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  <c r="AB327" s="198"/>
    </row>
    <row r="328" spans="1:28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200"/>
      <c r="O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  <c r="AB328" s="198"/>
    </row>
    <row r="329" spans="1:28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200"/>
      <c r="O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  <c r="AB329" s="198"/>
    </row>
    <row r="330" spans="1:28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200"/>
      <c r="O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</row>
    <row r="331" spans="1:28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200"/>
      <c r="O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</row>
    <row r="332" spans="1:28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200"/>
      <c r="O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</row>
    <row r="333" spans="1:28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200"/>
      <c r="O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</row>
    <row r="334" spans="1:28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200"/>
      <c r="O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</row>
    <row r="335" spans="1:28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200"/>
      <c r="O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</row>
    <row r="336" spans="1:28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200"/>
      <c r="O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</row>
    <row r="337" spans="1:28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200"/>
      <c r="O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</row>
    <row r="338" spans="1:28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200"/>
      <c r="O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</row>
    <row r="339" spans="1:28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200"/>
      <c r="O339" s="198"/>
      <c r="Q339" s="198"/>
      <c r="R339" s="198"/>
      <c r="S339" s="198"/>
      <c r="T339" s="198"/>
      <c r="U339" s="198"/>
      <c r="V339" s="198"/>
      <c r="W339" s="198"/>
      <c r="X339" s="198"/>
      <c r="Y339" s="198"/>
      <c r="Z339" s="198"/>
      <c r="AA339" s="198"/>
      <c r="AB339" s="198"/>
    </row>
    <row r="340" spans="1:28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200"/>
      <c r="O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</row>
    <row r="341" spans="1:28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200"/>
      <c r="O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  <c r="AB341" s="198"/>
    </row>
    <row r="342" spans="1:28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200"/>
      <c r="O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  <c r="AB342" s="198"/>
    </row>
    <row r="343" spans="1:28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200"/>
      <c r="O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  <c r="AB343" s="198"/>
    </row>
    <row r="344" spans="1:28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200"/>
      <c r="O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  <c r="AB344" s="198"/>
    </row>
    <row r="345" spans="1:28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200"/>
      <c r="O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  <c r="AB345" s="198"/>
    </row>
    <row r="346" spans="1:28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200"/>
      <c r="O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  <c r="AB346" s="198"/>
    </row>
    <row r="347" spans="1:28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200"/>
      <c r="O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  <c r="AB347" s="198"/>
    </row>
    <row r="348" spans="1:28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200"/>
      <c r="O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  <c r="AB348" s="198"/>
    </row>
    <row r="349" spans="1:28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200"/>
      <c r="O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  <c r="AB349" s="198"/>
    </row>
    <row r="350" spans="1:28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200"/>
      <c r="O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  <c r="AB350" s="198"/>
    </row>
    <row r="351" spans="1:28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200"/>
      <c r="O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  <c r="AB351" s="198"/>
    </row>
    <row r="352" spans="1:28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200"/>
      <c r="O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</row>
    <row r="353" spans="1:28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200"/>
      <c r="O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  <c r="AB353" s="198"/>
    </row>
    <row r="354" spans="1:28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200"/>
      <c r="O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  <c r="AB354" s="198"/>
    </row>
    <row r="355" spans="1:28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200"/>
      <c r="O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  <c r="AB355" s="198"/>
    </row>
    <row r="356" spans="1:28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200"/>
      <c r="O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</row>
    <row r="357" spans="1:28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200"/>
      <c r="O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</row>
    <row r="358" spans="1:28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200"/>
      <c r="O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  <c r="AB358" s="198"/>
    </row>
    <row r="359" spans="1:28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200"/>
      <c r="O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</row>
    <row r="360" spans="1:28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200"/>
      <c r="O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</row>
    <row r="361" spans="1:28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200"/>
      <c r="O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  <c r="AB361" s="198"/>
    </row>
    <row r="362" spans="1:28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200"/>
      <c r="O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  <c r="AB362" s="198"/>
    </row>
    <row r="363" spans="1:28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200"/>
      <c r="O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</row>
    <row r="364" spans="1:28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200"/>
      <c r="O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  <c r="AB364" s="198"/>
    </row>
    <row r="365" spans="1:28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200"/>
      <c r="O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  <c r="AB365" s="198"/>
    </row>
    <row r="366" spans="1:28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200"/>
      <c r="O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</row>
    <row r="367" spans="1:28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200"/>
      <c r="O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</row>
    <row r="368" spans="1:28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200"/>
      <c r="O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</row>
    <row r="369" spans="1:28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200"/>
      <c r="O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</row>
    <row r="370" spans="1:28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200"/>
      <c r="O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</row>
    <row r="371" spans="1:28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200"/>
      <c r="O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</row>
    <row r="372" spans="1:28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200"/>
      <c r="O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</row>
    <row r="373" spans="1:28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200"/>
      <c r="O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</row>
    <row r="374" spans="1:28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200"/>
      <c r="O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</row>
    <row r="375" spans="1:28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200"/>
      <c r="O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</row>
    <row r="376" spans="1:28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200"/>
      <c r="O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</row>
    <row r="377" spans="1:28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200"/>
      <c r="O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</row>
    <row r="378" spans="1:28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200"/>
      <c r="O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</row>
    <row r="379" spans="1:28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200"/>
      <c r="O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</row>
    <row r="380" spans="1:28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200"/>
      <c r="O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</row>
    <row r="381" spans="1:28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200"/>
      <c r="O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</row>
    <row r="382" spans="1:28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200"/>
      <c r="O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</row>
    <row r="383" spans="1:28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200"/>
      <c r="O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</row>
    <row r="384" spans="1:28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200"/>
      <c r="O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</row>
    <row r="385" spans="1:28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200"/>
      <c r="O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</row>
    <row r="386" spans="1:28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200"/>
      <c r="O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</row>
    <row r="387" spans="1:28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200"/>
      <c r="O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</row>
    <row r="388" spans="1:28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200"/>
      <c r="O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</row>
    <row r="389" spans="1:28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200"/>
      <c r="O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</row>
    <row r="390" spans="1:28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200"/>
      <c r="O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</row>
    <row r="391" spans="1:28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200"/>
      <c r="O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</row>
    <row r="392" spans="1:28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200"/>
      <c r="O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</row>
    <row r="393" spans="1:28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200"/>
      <c r="O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  <c r="AB393" s="198"/>
    </row>
    <row r="394" spans="1:28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200"/>
      <c r="O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  <c r="AB394" s="198"/>
    </row>
    <row r="395" spans="1:28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200"/>
      <c r="O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  <c r="AB395" s="198"/>
    </row>
    <row r="396" spans="1:28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200"/>
      <c r="O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  <c r="AB396" s="198"/>
    </row>
    <row r="397" spans="1:28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200"/>
      <c r="O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  <c r="AB397" s="198"/>
    </row>
    <row r="398" spans="1:28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200"/>
      <c r="O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  <c r="AB398" s="198"/>
    </row>
    <row r="399" spans="1:28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200"/>
      <c r="O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  <c r="AB399" s="198"/>
    </row>
    <row r="400" spans="1:28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200"/>
      <c r="O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  <c r="AB400" s="198"/>
    </row>
    <row r="401" spans="1:28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200"/>
      <c r="O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  <c r="AB401" s="198"/>
    </row>
    <row r="402" spans="1:28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200"/>
      <c r="O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</row>
    <row r="403" spans="1:28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200"/>
      <c r="O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</row>
    <row r="404" spans="1:28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200"/>
      <c r="O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</row>
    <row r="405" spans="1:28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200"/>
      <c r="O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</row>
    <row r="406" spans="1:28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200"/>
      <c r="O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</row>
    <row r="407" spans="1:28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200"/>
      <c r="O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</row>
    <row r="408" spans="1:28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200"/>
      <c r="O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</row>
    <row r="409" spans="1:28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200"/>
      <c r="O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</row>
    <row r="410" spans="1:28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200"/>
      <c r="O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</row>
    <row r="411" spans="1:28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200"/>
      <c r="O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  <c r="AB411" s="198"/>
    </row>
    <row r="412" spans="1:28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200"/>
      <c r="O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</row>
    <row r="413" spans="1:28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200"/>
      <c r="O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</row>
    <row r="414" spans="1:28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200"/>
      <c r="O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  <c r="AB414" s="198"/>
    </row>
    <row r="415" spans="1:28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200"/>
      <c r="O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  <c r="AB415" s="198"/>
    </row>
    <row r="416" spans="1:28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200"/>
      <c r="O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  <c r="AB416" s="198"/>
    </row>
    <row r="417" spans="1:28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200"/>
      <c r="O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  <c r="AB417" s="198"/>
    </row>
    <row r="418" spans="1:28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200"/>
      <c r="O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  <c r="AB418" s="198"/>
    </row>
    <row r="419" spans="1:28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200"/>
      <c r="O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  <c r="AB419" s="198"/>
    </row>
    <row r="420" spans="1:28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200"/>
      <c r="O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  <c r="AB420" s="198"/>
    </row>
    <row r="421" spans="1:28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200"/>
      <c r="O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  <c r="AB421" s="198"/>
    </row>
    <row r="422" spans="1:28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200"/>
      <c r="O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  <c r="AB422" s="198"/>
    </row>
    <row r="423" spans="1:28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200"/>
      <c r="O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  <c r="AB423" s="198"/>
    </row>
    <row r="424" spans="1:28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200"/>
      <c r="O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  <c r="AB424" s="198"/>
    </row>
    <row r="425" spans="1:28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200"/>
      <c r="O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</row>
    <row r="426" spans="1:28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200"/>
      <c r="O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  <c r="AB426" s="198"/>
    </row>
    <row r="427" spans="1:28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200"/>
      <c r="O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  <c r="AB427" s="198"/>
    </row>
    <row r="428" spans="1:28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200"/>
      <c r="O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  <c r="AB428" s="198"/>
    </row>
    <row r="429" spans="1:28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200"/>
      <c r="O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  <c r="AB429" s="198"/>
    </row>
    <row r="430" spans="1:28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200"/>
      <c r="O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  <c r="AB430" s="198"/>
    </row>
    <row r="431" spans="1:28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200"/>
      <c r="O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  <c r="AB431" s="198"/>
    </row>
    <row r="432" spans="1:28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200"/>
      <c r="O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  <c r="AB432" s="198"/>
    </row>
    <row r="433" spans="1:28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200"/>
      <c r="O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  <c r="AB433" s="198"/>
    </row>
    <row r="434" spans="1:28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200"/>
      <c r="O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  <c r="AB434" s="198"/>
    </row>
    <row r="435" spans="1:28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200"/>
      <c r="O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  <c r="AB435" s="198"/>
    </row>
    <row r="436" spans="1:28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200"/>
      <c r="O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  <c r="AB436" s="198"/>
    </row>
    <row r="437" spans="1:28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200"/>
      <c r="O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  <c r="AB437" s="198"/>
    </row>
    <row r="438" spans="1:28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200"/>
      <c r="O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  <c r="AB438" s="198"/>
    </row>
    <row r="439" spans="1:28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200"/>
      <c r="O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  <c r="AB439" s="198"/>
    </row>
    <row r="440" spans="1:28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200"/>
      <c r="O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</row>
    <row r="441" spans="1:28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200"/>
      <c r="O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</row>
    <row r="442" spans="1:28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200"/>
      <c r="O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</row>
    <row r="443" spans="1:28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200"/>
      <c r="O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</row>
    <row r="444" spans="1:28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200"/>
      <c r="O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</row>
    <row r="445" spans="1:28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200"/>
      <c r="O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  <c r="AB445" s="198"/>
    </row>
    <row r="446" spans="1:28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200"/>
      <c r="O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</row>
    <row r="447" spans="1:28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200"/>
      <c r="O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  <c r="AB447" s="198"/>
    </row>
    <row r="448" spans="1:28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200"/>
      <c r="O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  <c r="AB448" s="198"/>
    </row>
    <row r="449" spans="1:28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200"/>
      <c r="O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</row>
    <row r="450" spans="1:28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200"/>
      <c r="O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  <c r="AB450" s="198"/>
    </row>
    <row r="451" spans="1:28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200"/>
      <c r="O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  <c r="AB451" s="198"/>
    </row>
    <row r="452" spans="1:28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200"/>
      <c r="O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  <c r="AB452" s="198"/>
    </row>
    <row r="453" spans="1:28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200"/>
      <c r="O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  <c r="AB453" s="198"/>
    </row>
    <row r="454" spans="1:28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200"/>
      <c r="O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  <c r="AB454" s="198"/>
    </row>
    <row r="455" spans="1:28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200"/>
      <c r="O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  <c r="AB455" s="198"/>
    </row>
    <row r="456" spans="1:28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200"/>
      <c r="O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</row>
    <row r="457" spans="1:28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200"/>
      <c r="O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</row>
    <row r="458" spans="1:28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200"/>
      <c r="O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</row>
    <row r="459" spans="1:28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200"/>
      <c r="O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</row>
    <row r="460" spans="1:28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200"/>
      <c r="O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</row>
    <row r="461" spans="1:28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200"/>
      <c r="O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</row>
    <row r="462" spans="1:28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200"/>
      <c r="O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</row>
    <row r="463" spans="1:28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200"/>
      <c r="O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</row>
    <row r="464" spans="1:28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200"/>
      <c r="O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  <c r="AB464" s="198"/>
    </row>
    <row r="465" spans="1:28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200"/>
      <c r="O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  <c r="AB465" s="198"/>
    </row>
    <row r="466" spans="1:28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200"/>
      <c r="O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  <c r="AB466" s="198"/>
    </row>
    <row r="467" spans="1:28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200"/>
      <c r="O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  <c r="AB467" s="198"/>
    </row>
    <row r="468" spans="1:28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200"/>
      <c r="O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  <c r="AB468" s="198"/>
    </row>
    <row r="469" spans="1:28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200"/>
      <c r="O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  <c r="AB469" s="198"/>
    </row>
    <row r="470" spans="1:28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200"/>
      <c r="O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  <c r="AB470" s="198"/>
    </row>
    <row r="471" spans="1:28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200"/>
      <c r="O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  <c r="AB471" s="198"/>
    </row>
    <row r="472" spans="1:28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200"/>
      <c r="O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</row>
    <row r="473" spans="1:28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200"/>
      <c r="O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  <c r="AB473" s="198"/>
    </row>
    <row r="474" spans="1:28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200"/>
      <c r="O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  <c r="AB474" s="198"/>
    </row>
    <row r="475" spans="1:28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200"/>
      <c r="O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  <c r="AB475" s="198"/>
    </row>
    <row r="476" spans="1:28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200"/>
      <c r="O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  <c r="AB476" s="198"/>
    </row>
    <row r="477" spans="1:28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200"/>
      <c r="O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  <c r="AB477" s="198"/>
    </row>
    <row r="478" spans="1:28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200"/>
      <c r="O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</row>
    <row r="479" spans="1:28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200"/>
      <c r="O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  <c r="AB479" s="198"/>
    </row>
    <row r="480" spans="1:28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200"/>
      <c r="O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  <c r="AB480" s="198"/>
    </row>
    <row r="481" spans="1:28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200"/>
      <c r="O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  <c r="AB481" s="198"/>
    </row>
    <row r="482" spans="1:28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200"/>
      <c r="O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  <c r="AB482" s="198"/>
    </row>
    <row r="483" spans="1:28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200"/>
      <c r="O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  <c r="AB483" s="198"/>
    </row>
    <row r="484" spans="1:28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200"/>
      <c r="O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  <c r="AB484" s="198"/>
    </row>
    <row r="485" spans="1:28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200"/>
      <c r="O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  <c r="AB485" s="198"/>
    </row>
    <row r="486" spans="1:28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200"/>
      <c r="O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  <c r="AB486" s="198"/>
    </row>
    <row r="487" spans="1:28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200"/>
      <c r="O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  <c r="AB487" s="198"/>
    </row>
    <row r="488" spans="1:28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200"/>
      <c r="O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  <c r="AB488" s="198"/>
    </row>
    <row r="489" spans="1:28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200"/>
      <c r="O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  <c r="AB489" s="198"/>
    </row>
    <row r="490" spans="1:28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200"/>
      <c r="O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  <c r="AB490" s="198"/>
    </row>
    <row r="491" spans="1:28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200"/>
      <c r="O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  <c r="AB491" s="198"/>
    </row>
    <row r="492" spans="1:28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200"/>
      <c r="O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  <c r="AB492" s="198"/>
    </row>
    <row r="493" spans="1:28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200"/>
      <c r="O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  <c r="AB493" s="198"/>
    </row>
    <row r="494" spans="1:28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200"/>
      <c r="O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  <c r="AB494" s="198"/>
    </row>
    <row r="495" spans="1:28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200"/>
      <c r="O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  <c r="AB495" s="198"/>
    </row>
    <row r="496" spans="1:28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200"/>
      <c r="O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  <c r="AB496" s="198"/>
    </row>
    <row r="497" spans="1:28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200"/>
      <c r="O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  <c r="AB497" s="198"/>
    </row>
    <row r="498" spans="1:28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200"/>
      <c r="O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  <c r="AB498" s="198"/>
    </row>
    <row r="499" spans="1:28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200"/>
      <c r="O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  <c r="AB499" s="198"/>
    </row>
    <row r="500" spans="1:28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200"/>
      <c r="O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  <c r="AB500" s="198"/>
    </row>
    <row r="501" spans="1:28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200"/>
      <c r="O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  <c r="AB501" s="198"/>
    </row>
    <row r="502" spans="1:28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200"/>
      <c r="O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  <c r="AB502" s="198"/>
    </row>
    <row r="503" spans="1:28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200"/>
      <c r="O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  <c r="AB503" s="198"/>
    </row>
    <row r="504" spans="1:28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200"/>
      <c r="O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  <c r="AB504" s="198"/>
    </row>
    <row r="505" spans="1:28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200"/>
      <c r="O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  <c r="AB505" s="198"/>
    </row>
    <row r="506" spans="1:28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200"/>
      <c r="O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  <c r="AB506" s="198"/>
    </row>
    <row r="507" spans="1:28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200"/>
      <c r="O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  <c r="AB507" s="198"/>
    </row>
    <row r="508" spans="1:28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200"/>
      <c r="O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  <c r="AB508" s="198"/>
    </row>
    <row r="509" spans="1:28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200"/>
      <c r="O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  <c r="AB509" s="198"/>
    </row>
    <row r="510" spans="1:28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200"/>
      <c r="O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</row>
    <row r="511" spans="1:28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200"/>
      <c r="O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</row>
    <row r="512" spans="1:28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200"/>
      <c r="O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</row>
    <row r="513" spans="1:28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200"/>
      <c r="O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</row>
    <row r="514" spans="1:28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200"/>
      <c r="O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</row>
    <row r="515" spans="1:28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200"/>
      <c r="O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</row>
    <row r="516" spans="1:28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200"/>
      <c r="O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</row>
    <row r="517" spans="1:28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200"/>
      <c r="O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</row>
    <row r="518" spans="1:28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200"/>
      <c r="O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</row>
    <row r="519" spans="1:28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200"/>
      <c r="O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  <c r="AB519" s="198"/>
    </row>
    <row r="520" spans="1:28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200"/>
      <c r="O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  <c r="AB520" s="198"/>
    </row>
    <row r="521" spans="1:28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200"/>
      <c r="O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  <c r="AB521" s="198"/>
    </row>
    <row r="522" spans="1:28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200"/>
      <c r="O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  <c r="AB522" s="198"/>
    </row>
    <row r="523" spans="1:28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200"/>
      <c r="O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  <c r="AB523" s="198"/>
    </row>
    <row r="524" spans="1:28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200"/>
      <c r="O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  <c r="AB524" s="198"/>
    </row>
    <row r="525" spans="1:28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200"/>
      <c r="O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  <c r="AB525" s="198"/>
    </row>
    <row r="526" spans="1:28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200"/>
      <c r="O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  <c r="AB526" s="198"/>
    </row>
    <row r="527" spans="1:28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200"/>
      <c r="O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  <c r="AB527" s="198"/>
    </row>
    <row r="528" spans="1:28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200"/>
      <c r="O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  <c r="AB528" s="198"/>
    </row>
    <row r="529" spans="1:28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200"/>
      <c r="O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  <c r="AB529" s="198"/>
    </row>
    <row r="530" spans="1:28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200"/>
      <c r="O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  <c r="AB530" s="198"/>
    </row>
    <row r="531" spans="1:28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200"/>
      <c r="O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  <c r="AB531" s="198"/>
    </row>
    <row r="532" spans="1:28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200"/>
      <c r="O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  <c r="AB532" s="198"/>
    </row>
    <row r="533" spans="1:28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200"/>
      <c r="O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  <c r="AB533" s="198"/>
    </row>
    <row r="534" spans="1:28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200"/>
      <c r="O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</row>
    <row r="535" spans="1:28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200"/>
      <c r="O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</row>
    <row r="536" spans="1:28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200"/>
      <c r="O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</row>
    <row r="537" spans="1:28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200"/>
      <c r="O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</row>
    <row r="538" spans="1:28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200"/>
      <c r="O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</row>
    <row r="539" spans="1:28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200"/>
      <c r="O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</row>
    <row r="540" spans="1:28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200"/>
      <c r="O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</row>
    <row r="541" spans="1:28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200"/>
      <c r="O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</row>
    <row r="542" spans="1:28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200"/>
      <c r="O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</row>
    <row r="543" spans="1:28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200"/>
      <c r="O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</row>
    <row r="544" spans="1:28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200"/>
      <c r="O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</row>
    <row r="545" spans="1:28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200"/>
      <c r="O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</row>
    <row r="546" spans="1:28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200"/>
      <c r="O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</row>
    <row r="547" spans="1:28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200"/>
      <c r="O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</row>
    <row r="548" spans="1:28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200"/>
      <c r="O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</row>
    <row r="549" spans="1:28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200"/>
      <c r="O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</row>
    <row r="550" spans="1:28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200"/>
      <c r="O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</row>
    <row r="551" spans="1:28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200"/>
      <c r="O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  <c r="AB551" s="198"/>
    </row>
    <row r="552" spans="1:28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200"/>
      <c r="O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  <c r="AB552" s="198"/>
    </row>
    <row r="553" spans="1:28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200"/>
      <c r="O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  <c r="AB553" s="198"/>
    </row>
    <row r="554" spans="1:28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200"/>
      <c r="O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  <c r="AB554" s="198"/>
    </row>
    <row r="555" spans="1:28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200"/>
      <c r="O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  <c r="AB555" s="198"/>
    </row>
    <row r="556" spans="1:28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200"/>
      <c r="O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  <c r="AB556" s="198"/>
    </row>
    <row r="557" spans="1:28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200"/>
      <c r="O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  <c r="AB557" s="198"/>
    </row>
    <row r="558" spans="1:28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200"/>
      <c r="O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  <c r="AB558" s="198"/>
    </row>
    <row r="559" spans="1:28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200"/>
      <c r="O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  <c r="AB559" s="198"/>
    </row>
    <row r="560" spans="1:28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200"/>
      <c r="O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  <c r="AB560" s="198"/>
    </row>
    <row r="561" spans="1:28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200"/>
      <c r="O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  <c r="AB561" s="198"/>
    </row>
    <row r="562" spans="1:28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200"/>
      <c r="O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  <c r="AB562" s="198"/>
    </row>
    <row r="563" spans="1:28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200"/>
      <c r="O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  <c r="AB563" s="198"/>
    </row>
    <row r="564" spans="1:28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200"/>
      <c r="O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</row>
    <row r="565" spans="1:28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200"/>
      <c r="O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</row>
    <row r="566" spans="1:28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200"/>
      <c r="O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</row>
    <row r="567" spans="1:28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200"/>
      <c r="O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</row>
    <row r="568" spans="1:28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200"/>
      <c r="O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</row>
    <row r="569" spans="1:28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200"/>
      <c r="O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</row>
    <row r="570" spans="1:28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200"/>
      <c r="O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</row>
    <row r="571" spans="1:28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200"/>
      <c r="O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</row>
    <row r="572" spans="1:28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200"/>
      <c r="O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  <c r="AB572" s="198"/>
    </row>
    <row r="573" spans="1:28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200"/>
      <c r="O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  <c r="AB573" s="198"/>
    </row>
    <row r="574" spans="1:28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200"/>
      <c r="O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  <c r="AB574" s="198"/>
    </row>
    <row r="575" spans="1:28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200"/>
      <c r="O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  <c r="AB575" s="198"/>
    </row>
    <row r="576" spans="1:28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200"/>
      <c r="O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  <c r="AB576" s="198"/>
    </row>
    <row r="577" spans="1:28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200"/>
      <c r="O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  <c r="AB577" s="198"/>
    </row>
    <row r="578" spans="1:28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200"/>
      <c r="O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  <c r="AB578" s="198"/>
    </row>
    <row r="579" spans="1:28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200"/>
      <c r="O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  <c r="AB579" s="198"/>
    </row>
    <row r="580" spans="1:28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200"/>
      <c r="O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  <c r="AB580" s="198"/>
    </row>
    <row r="581" spans="1:28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200"/>
      <c r="O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  <c r="AB581" s="198"/>
    </row>
    <row r="582" spans="1:28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200"/>
      <c r="O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  <c r="AB582" s="198"/>
    </row>
    <row r="583" spans="1:28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200"/>
      <c r="O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  <c r="AB583" s="198"/>
    </row>
    <row r="584" spans="1:28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200"/>
      <c r="O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  <c r="AB584" s="198"/>
    </row>
    <row r="585" spans="1:28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200"/>
      <c r="O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  <c r="AB585" s="198"/>
    </row>
    <row r="586" spans="1:28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200"/>
      <c r="O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  <c r="AB586" s="198"/>
    </row>
    <row r="587" spans="1:28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200"/>
      <c r="O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  <c r="AB587" s="198"/>
    </row>
    <row r="588" spans="1:28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200"/>
      <c r="O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  <c r="AB588" s="198"/>
    </row>
    <row r="589" spans="1:28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200"/>
      <c r="O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  <c r="AB589" s="198"/>
    </row>
    <row r="590" spans="1:28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200"/>
      <c r="O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  <c r="AB590" s="198"/>
    </row>
    <row r="591" spans="1:28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200"/>
      <c r="O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  <c r="AB591" s="198"/>
    </row>
    <row r="592" spans="1:28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200"/>
      <c r="O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  <c r="AB592" s="198"/>
    </row>
    <row r="593" spans="1:28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200"/>
      <c r="O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</row>
    <row r="594" spans="1:28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200"/>
      <c r="O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</row>
    <row r="595" spans="1:28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200"/>
      <c r="O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  <c r="AB595" s="198"/>
    </row>
    <row r="596" spans="1:28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200"/>
      <c r="O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  <c r="AB596" s="198"/>
    </row>
    <row r="597" spans="1:28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200"/>
      <c r="O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  <c r="AB597" s="198"/>
    </row>
    <row r="598" spans="1:28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200"/>
      <c r="O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  <c r="AB598" s="198"/>
    </row>
    <row r="599" spans="1:28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200"/>
      <c r="O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  <c r="AB599" s="198"/>
    </row>
    <row r="600" spans="1:28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200"/>
      <c r="O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  <c r="AB600" s="198"/>
    </row>
    <row r="601" spans="1:28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200"/>
      <c r="O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  <c r="AB601" s="198"/>
    </row>
    <row r="602" spans="1:28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200"/>
      <c r="O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  <c r="AB602" s="198"/>
    </row>
    <row r="603" spans="1:28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200"/>
      <c r="O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</row>
    <row r="604" spans="1:28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200"/>
      <c r="O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</row>
    <row r="605" spans="1:28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200"/>
      <c r="O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</row>
    <row r="606" spans="1:28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200"/>
      <c r="O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</row>
    <row r="607" spans="1:28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200"/>
      <c r="O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</row>
    <row r="608" spans="1:28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200"/>
      <c r="O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</row>
    <row r="609" spans="1:28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200"/>
      <c r="O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</row>
    <row r="610" spans="1:28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200"/>
      <c r="O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</row>
    <row r="611" spans="1:28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200"/>
      <c r="O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</row>
    <row r="612" spans="1:28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200"/>
      <c r="O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</row>
    <row r="613" spans="1:28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200"/>
      <c r="O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</row>
    <row r="614" spans="1:28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200"/>
      <c r="O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</row>
    <row r="615" spans="1:28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200"/>
      <c r="O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</row>
    <row r="616" spans="1:28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200"/>
      <c r="O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</row>
    <row r="617" spans="1:28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200"/>
      <c r="O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</row>
    <row r="618" spans="1:28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200"/>
      <c r="O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</row>
    <row r="619" spans="1:28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200"/>
      <c r="O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</row>
    <row r="620" spans="1:28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200"/>
      <c r="O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</row>
    <row r="621" spans="1:28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200"/>
      <c r="O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</row>
    <row r="622" spans="1:28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200"/>
      <c r="O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</row>
    <row r="623" spans="1:28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200"/>
      <c r="O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</row>
    <row r="624" spans="1:28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200"/>
      <c r="O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</row>
    <row r="625" spans="1:28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200"/>
      <c r="O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</row>
    <row r="626" spans="1:28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200"/>
      <c r="O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</row>
    <row r="627" spans="1:28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200"/>
      <c r="O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  <c r="AB627" s="198"/>
    </row>
    <row r="628" spans="1:28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200"/>
      <c r="O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  <c r="AB628" s="198"/>
    </row>
    <row r="629" spans="1:28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200"/>
      <c r="O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  <c r="AB629" s="198"/>
    </row>
    <row r="630" spans="1:28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200"/>
      <c r="O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  <c r="AB630" s="198"/>
    </row>
    <row r="631" spans="1:28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200"/>
      <c r="O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</row>
    <row r="632" spans="1:28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200"/>
      <c r="O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</row>
    <row r="633" spans="1:28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200"/>
      <c r="O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</row>
    <row r="634" spans="1:28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200"/>
      <c r="O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</row>
    <row r="635" spans="1:28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200"/>
      <c r="O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</row>
    <row r="636" spans="1:28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200"/>
      <c r="O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</row>
    <row r="637" spans="1:28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200"/>
      <c r="O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</row>
    <row r="638" spans="1:28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200"/>
      <c r="O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</row>
    <row r="639" spans="1:28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200"/>
      <c r="O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</row>
    <row r="640" spans="1:28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200"/>
      <c r="O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</row>
    <row r="641" spans="1:28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200"/>
      <c r="O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</row>
    <row r="642" spans="1:28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200"/>
      <c r="O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</row>
    <row r="643" spans="1:28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200"/>
      <c r="O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</row>
    <row r="644" spans="1:28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200"/>
      <c r="O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</row>
    <row r="645" spans="1:28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200"/>
      <c r="O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</row>
    <row r="646" spans="1:28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200"/>
      <c r="O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</row>
    <row r="647" spans="1:28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200"/>
      <c r="O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</row>
    <row r="648" spans="1:28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200"/>
      <c r="O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  <c r="AB648" s="198"/>
    </row>
    <row r="649" spans="1:28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200"/>
      <c r="O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  <c r="AB649" s="198"/>
    </row>
    <row r="650" spans="1:28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200"/>
      <c r="O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  <c r="AB650" s="198"/>
    </row>
    <row r="651" spans="1:28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200"/>
      <c r="O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  <c r="AB651" s="198"/>
    </row>
    <row r="652" spans="1:28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200"/>
      <c r="O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  <c r="AB652" s="198"/>
    </row>
    <row r="653" spans="1:28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200"/>
      <c r="O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  <c r="AB653" s="198"/>
    </row>
    <row r="654" spans="1:28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200"/>
      <c r="O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</row>
    <row r="655" spans="1:28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200"/>
      <c r="O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</row>
    <row r="656" spans="1:28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200"/>
      <c r="O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</row>
    <row r="657" spans="1:28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200"/>
      <c r="O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</row>
    <row r="658" spans="1:28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200"/>
      <c r="O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</row>
    <row r="659" spans="1:28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200"/>
      <c r="O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</row>
    <row r="660" spans="1:28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200"/>
      <c r="O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</row>
    <row r="661" spans="1:28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200"/>
      <c r="O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</row>
    <row r="662" spans="1:28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200"/>
      <c r="O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</row>
    <row r="663" spans="1:28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200"/>
      <c r="O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  <c r="AB663" s="198"/>
    </row>
    <row r="664" spans="1:28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200"/>
      <c r="O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</row>
    <row r="665" spans="1:28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200"/>
      <c r="O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  <c r="AB665" s="198"/>
    </row>
    <row r="666" spans="1:28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200"/>
      <c r="O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  <c r="AB666" s="198"/>
    </row>
    <row r="667" spans="1:28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200"/>
      <c r="O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  <c r="AB667" s="198"/>
    </row>
    <row r="668" spans="1:28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200"/>
      <c r="O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</row>
    <row r="669" spans="1:28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200"/>
      <c r="O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  <c r="AB669" s="198"/>
    </row>
    <row r="670" spans="1:28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200"/>
      <c r="O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  <c r="AB670" s="198"/>
    </row>
    <row r="671" spans="1:28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200"/>
      <c r="O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  <c r="AB671" s="198"/>
    </row>
    <row r="672" spans="1:28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200"/>
      <c r="O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</row>
    <row r="673" spans="1:28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200"/>
      <c r="O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</row>
    <row r="674" spans="1:28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200"/>
      <c r="O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</row>
    <row r="675" spans="1:28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200"/>
      <c r="O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</row>
    <row r="676" spans="1:28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200"/>
      <c r="O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</row>
    <row r="677" spans="1:28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200"/>
      <c r="O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</row>
    <row r="678" spans="1:28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200"/>
      <c r="O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</row>
    <row r="679" spans="1:28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200"/>
      <c r="O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</row>
    <row r="680" spans="1:28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200"/>
      <c r="O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</row>
    <row r="681" spans="1:28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200"/>
      <c r="O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  <c r="AB681" s="198"/>
    </row>
    <row r="682" spans="1:28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200"/>
      <c r="O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  <c r="AB682" s="198"/>
    </row>
    <row r="683" spans="1:28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200"/>
      <c r="O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  <c r="AB683" s="198"/>
    </row>
    <row r="684" spans="1:28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200"/>
      <c r="O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  <c r="AB684" s="198"/>
    </row>
    <row r="685" spans="1:28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200"/>
      <c r="O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  <c r="AB685" s="198"/>
    </row>
    <row r="686" spans="1:28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200"/>
      <c r="O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  <c r="AB686" s="198"/>
    </row>
    <row r="687" spans="1:28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200"/>
      <c r="O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  <c r="AB687" s="198"/>
    </row>
    <row r="688" spans="1:28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200"/>
      <c r="O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  <c r="AB688" s="198"/>
    </row>
    <row r="689" spans="1:28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200"/>
      <c r="O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  <c r="AB689" s="198"/>
    </row>
    <row r="690" spans="1:28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200"/>
      <c r="O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  <c r="AB690" s="198"/>
    </row>
    <row r="691" spans="1:28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200"/>
      <c r="O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  <c r="AB691" s="198"/>
    </row>
    <row r="692" spans="1:28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200"/>
      <c r="O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</row>
    <row r="693" spans="1:28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200"/>
      <c r="O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</row>
    <row r="694" spans="1:28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200"/>
      <c r="O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</row>
    <row r="695" spans="1:28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200"/>
      <c r="O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  <c r="AB695" s="198"/>
    </row>
    <row r="696" spans="1:28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200"/>
      <c r="O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  <c r="AB696" s="198"/>
    </row>
    <row r="697" spans="1:28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200"/>
      <c r="O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  <c r="AB697" s="198"/>
    </row>
    <row r="698" spans="1:28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200"/>
      <c r="O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</row>
    <row r="699" spans="1:28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200"/>
      <c r="O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  <c r="AB699" s="198"/>
    </row>
    <row r="700" spans="1:28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200"/>
      <c r="O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  <c r="AB700" s="198"/>
    </row>
    <row r="701" spans="1:28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200"/>
      <c r="O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  <c r="AB701" s="198"/>
    </row>
    <row r="702" spans="1:28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200"/>
      <c r="O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  <c r="AB702" s="198"/>
    </row>
    <row r="703" spans="1:28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200"/>
      <c r="O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  <c r="AB703" s="198"/>
    </row>
    <row r="704" spans="1:28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200"/>
      <c r="O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  <c r="AB704" s="198"/>
    </row>
    <row r="705" spans="1:28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200"/>
      <c r="O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  <c r="AB705" s="198"/>
    </row>
    <row r="706" spans="1:28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200"/>
      <c r="O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</row>
    <row r="707" spans="1:28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200"/>
      <c r="O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</row>
    <row r="708" spans="1:28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200"/>
      <c r="O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</row>
    <row r="709" spans="1:28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200"/>
      <c r="O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</row>
    <row r="710" spans="1:28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200"/>
      <c r="O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</row>
    <row r="711" spans="1:28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200"/>
      <c r="O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</row>
    <row r="712" spans="1:28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200"/>
      <c r="O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</row>
    <row r="713" spans="1:28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200"/>
      <c r="O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</row>
    <row r="714" spans="1:28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200"/>
      <c r="O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</row>
    <row r="715" spans="1:28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200"/>
      <c r="O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</row>
    <row r="716" spans="1:28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200"/>
      <c r="O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  <c r="AB716" s="198"/>
    </row>
    <row r="717" spans="1:28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200"/>
      <c r="O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  <c r="AB717" s="198"/>
    </row>
    <row r="718" spans="1:28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200"/>
      <c r="O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  <c r="AB718" s="198"/>
    </row>
    <row r="719" spans="1:28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200"/>
      <c r="O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  <c r="AB719" s="198"/>
    </row>
    <row r="720" spans="1:28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200"/>
      <c r="O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  <c r="AB720" s="198"/>
    </row>
    <row r="721" spans="1:28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200"/>
      <c r="O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  <c r="AB721" s="198"/>
    </row>
    <row r="722" spans="1:28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200"/>
      <c r="O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  <c r="AB722" s="198"/>
    </row>
    <row r="723" spans="1:28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200"/>
      <c r="O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  <c r="AB723" s="198"/>
    </row>
    <row r="724" spans="1:28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200"/>
      <c r="O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  <c r="AB724" s="198"/>
    </row>
    <row r="725" spans="1:28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200"/>
      <c r="O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  <c r="AB725" s="198"/>
    </row>
    <row r="726" spans="1:28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200"/>
      <c r="O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  <c r="AB726" s="198"/>
    </row>
    <row r="727" spans="1:28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200"/>
      <c r="O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  <c r="AB727" s="198"/>
    </row>
    <row r="728" spans="1:28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200"/>
      <c r="O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  <c r="AB728" s="198"/>
    </row>
    <row r="729" spans="1:28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200"/>
      <c r="O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  <c r="AB729" s="198"/>
    </row>
    <row r="730" spans="1:28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200"/>
      <c r="O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  <c r="AB730" s="198"/>
    </row>
    <row r="731" spans="1:28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200"/>
      <c r="O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  <c r="AB731" s="198"/>
    </row>
    <row r="732" spans="1:28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200"/>
      <c r="O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  <c r="AB732" s="198"/>
    </row>
    <row r="733" spans="1:28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200"/>
      <c r="O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  <c r="AB733" s="198"/>
    </row>
    <row r="734" spans="1:28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200"/>
      <c r="O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  <c r="AB734" s="198"/>
    </row>
    <row r="735" spans="1:28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200"/>
      <c r="O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  <c r="AB735" s="198"/>
    </row>
    <row r="736" spans="1:28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200"/>
      <c r="O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  <c r="AB736" s="198"/>
    </row>
    <row r="737" spans="1:28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200"/>
      <c r="O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  <c r="AB737" s="198"/>
    </row>
    <row r="738" spans="1:28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200"/>
      <c r="O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  <c r="AB738" s="198"/>
    </row>
    <row r="739" spans="1:28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200"/>
      <c r="O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  <c r="AB739" s="198"/>
    </row>
    <row r="740" spans="1:28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200"/>
      <c r="O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  <c r="AB740" s="198"/>
    </row>
    <row r="741" spans="1:28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200"/>
      <c r="O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  <c r="AB741" s="198"/>
    </row>
    <row r="742" spans="1:28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200"/>
      <c r="O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  <c r="AB742" s="198"/>
    </row>
    <row r="743" spans="1:28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200"/>
      <c r="O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  <c r="AB743" s="198"/>
    </row>
    <row r="744" spans="1:28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200"/>
      <c r="O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</row>
    <row r="745" spans="1:28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200"/>
      <c r="O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</row>
    <row r="746" spans="1:28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200"/>
      <c r="O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</row>
    <row r="747" spans="1:28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200"/>
      <c r="O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</row>
    <row r="748" spans="1:28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200"/>
      <c r="O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</row>
    <row r="749" spans="1:28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200"/>
      <c r="O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</row>
    <row r="750" spans="1:28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200"/>
      <c r="O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</row>
    <row r="751" spans="1:28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200"/>
      <c r="O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</row>
    <row r="752" spans="1:28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200"/>
      <c r="O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  <c r="AB752" s="198"/>
    </row>
    <row r="753" spans="1:28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200"/>
      <c r="O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  <c r="AB753" s="198"/>
    </row>
    <row r="754" spans="1:28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200"/>
      <c r="O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  <c r="AB754" s="198"/>
    </row>
    <row r="755" spans="1:28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200"/>
      <c r="O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  <c r="AB755" s="198"/>
    </row>
    <row r="756" spans="1:28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200"/>
      <c r="O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  <c r="AB756" s="198"/>
    </row>
    <row r="757" spans="1:28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200"/>
      <c r="O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  <c r="AB757" s="198"/>
    </row>
    <row r="758" spans="1:28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200"/>
      <c r="O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  <c r="AB758" s="198"/>
    </row>
    <row r="759" spans="1:28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200"/>
      <c r="O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  <c r="AB759" s="198"/>
    </row>
    <row r="760" spans="1:28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200"/>
      <c r="O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  <c r="AB760" s="198"/>
    </row>
    <row r="761" spans="1:28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200"/>
      <c r="O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  <c r="AB761" s="198"/>
    </row>
    <row r="762" spans="1:28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200"/>
      <c r="O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  <c r="AB762" s="198"/>
    </row>
    <row r="763" spans="1:28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200"/>
      <c r="O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  <c r="AB763" s="198"/>
    </row>
    <row r="764" spans="1:28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200"/>
      <c r="O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  <c r="AB764" s="198"/>
    </row>
    <row r="765" spans="1:28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200"/>
      <c r="O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</row>
    <row r="766" spans="1:28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200"/>
      <c r="O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</row>
    <row r="767" spans="1:28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200"/>
      <c r="O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</row>
    <row r="768" spans="1:28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200"/>
      <c r="O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</row>
    <row r="769" spans="1:28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200"/>
      <c r="O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</row>
    <row r="770" spans="1:28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200"/>
      <c r="O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</row>
    <row r="771" spans="1:28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200"/>
      <c r="O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8"/>
    </row>
    <row r="772" spans="1:28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200"/>
      <c r="O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  <c r="AB772" s="198"/>
    </row>
    <row r="773" spans="1:28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200"/>
      <c r="O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  <c r="AB773" s="198"/>
    </row>
    <row r="774" spans="1:28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200"/>
      <c r="O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  <c r="AB774" s="198"/>
    </row>
    <row r="775" spans="1:28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200"/>
      <c r="O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  <c r="AB775" s="198"/>
    </row>
    <row r="776" spans="1:28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200"/>
      <c r="O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  <c r="AB776" s="198"/>
    </row>
    <row r="777" spans="1:28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200"/>
      <c r="O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  <c r="AB777" s="198"/>
    </row>
    <row r="778" spans="1:28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200"/>
      <c r="O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  <c r="AB778" s="198"/>
    </row>
    <row r="779" spans="1:28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200"/>
      <c r="O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  <c r="AB779" s="198"/>
    </row>
    <row r="780" spans="1:28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200"/>
      <c r="O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</row>
    <row r="781" spans="1:28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200"/>
      <c r="O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</row>
    <row r="782" spans="1:28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200"/>
      <c r="O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</row>
    <row r="783" spans="1:28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200"/>
      <c r="O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</row>
    <row r="784" spans="1:28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200"/>
      <c r="O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</row>
    <row r="785" spans="1:28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200"/>
      <c r="O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</row>
    <row r="786" spans="1:28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200"/>
      <c r="O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</row>
    <row r="787" spans="1:28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200"/>
      <c r="O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</row>
    <row r="788" spans="1:28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200"/>
      <c r="O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</row>
    <row r="789" spans="1:28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200"/>
      <c r="O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  <c r="AB789" s="198"/>
    </row>
    <row r="790" spans="1:28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200"/>
      <c r="O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  <c r="AB790" s="198"/>
    </row>
    <row r="791" spans="1:28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200"/>
      <c r="O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  <c r="AB791" s="198"/>
    </row>
    <row r="792" spans="1:28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200"/>
      <c r="O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  <c r="AB792" s="198"/>
    </row>
    <row r="793" spans="1:28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200"/>
      <c r="O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  <c r="AB793" s="198"/>
    </row>
    <row r="794" spans="1:28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200"/>
      <c r="O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  <c r="AB794" s="198"/>
    </row>
    <row r="795" spans="1:28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200"/>
      <c r="O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  <c r="AB795" s="198"/>
    </row>
    <row r="796" spans="1:28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200"/>
      <c r="O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  <c r="AB796" s="198"/>
    </row>
    <row r="797" spans="1:28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200"/>
      <c r="O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  <c r="AB797" s="198"/>
    </row>
    <row r="798" spans="1:28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200"/>
      <c r="O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</row>
    <row r="799" spans="1:28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200"/>
      <c r="O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</row>
    <row r="800" spans="1:28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200"/>
      <c r="O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</row>
    <row r="801" spans="1:28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200"/>
      <c r="O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</row>
    <row r="802" spans="1:28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200"/>
      <c r="O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</row>
    <row r="803" spans="1:28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200"/>
      <c r="O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</row>
    <row r="804" spans="1:28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200"/>
      <c r="O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</row>
    <row r="805" spans="1:28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200"/>
      <c r="O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</row>
    <row r="806" spans="1:28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200"/>
      <c r="O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  <c r="AB806" s="198"/>
    </row>
    <row r="807" spans="1:28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200"/>
      <c r="O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  <c r="AB807" s="198"/>
    </row>
    <row r="808" spans="1:28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200"/>
      <c r="O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  <c r="AB808" s="198"/>
    </row>
    <row r="809" spans="1:28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200"/>
      <c r="O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  <c r="AB809" s="198"/>
    </row>
    <row r="810" spans="1:28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200"/>
      <c r="O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  <c r="AB810" s="198"/>
    </row>
    <row r="811" spans="1:28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200"/>
      <c r="O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  <c r="AB811" s="198"/>
    </row>
    <row r="812" spans="1:28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200"/>
      <c r="O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  <c r="AB812" s="198"/>
    </row>
    <row r="813" spans="1:28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200"/>
      <c r="O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  <c r="AB813" s="198"/>
    </row>
    <row r="814" spans="1:28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200"/>
      <c r="O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  <c r="AB814" s="198"/>
    </row>
    <row r="815" spans="1:28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200"/>
      <c r="O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  <c r="AB815" s="198"/>
    </row>
    <row r="816" spans="1:28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200"/>
      <c r="O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  <c r="AB816" s="198"/>
    </row>
    <row r="817" spans="1:28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200"/>
      <c r="O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  <c r="AB817" s="198"/>
    </row>
    <row r="818" spans="1:28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200"/>
      <c r="O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  <c r="AB818" s="198"/>
    </row>
    <row r="819" spans="1:28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200"/>
      <c r="O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  <c r="AB819" s="198"/>
    </row>
    <row r="820" spans="1:28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200"/>
      <c r="O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  <c r="AB820" s="198"/>
    </row>
    <row r="821" spans="1:28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200"/>
      <c r="O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  <c r="AB821" s="198"/>
    </row>
    <row r="822" spans="1:28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200"/>
      <c r="O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  <c r="AB822" s="198"/>
    </row>
    <row r="823" spans="1:28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200"/>
      <c r="O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  <c r="AB823" s="198"/>
    </row>
    <row r="824" spans="1:28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200"/>
      <c r="O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</row>
    <row r="825" spans="1:28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200"/>
      <c r="O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  <c r="AB825" s="198"/>
    </row>
    <row r="826" spans="1:28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200"/>
      <c r="O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  <c r="AB826" s="198"/>
    </row>
    <row r="827" spans="1:28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200"/>
      <c r="O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  <c r="AB827" s="198"/>
    </row>
    <row r="828" spans="1:28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200"/>
      <c r="O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  <c r="AB828" s="198"/>
    </row>
    <row r="829" spans="1:28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200"/>
      <c r="O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  <c r="AB829" s="198"/>
    </row>
    <row r="830" spans="1:28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200"/>
      <c r="O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  <c r="AB830" s="198"/>
    </row>
    <row r="831" spans="1:28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200"/>
      <c r="O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  <c r="AB831" s="198"/>
    </row>
    <row r="832" spans="1:28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200"/>
      <c r="O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  <c r="AB832" s="198"/>
    </row>
    <row r="833" spans="1:28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200"/>
      <c r="O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  <c r="AB833" s="198"/>
    </row>
    <row r="834" spans="1:28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200"/>
      <c r="O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</row>
    <row r="835" spans="1:28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200"/>
      <c r="O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</row>
    <row r="836" spans="1:28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200"/>
      <c r="O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</row>
    <row r="837" spans="1:28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200"/>
      <c r="O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</row>
    <row r="838" spans="1:28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200"/>
      <c r="O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</row>
    <row r="839" spans="1:28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200"/>
      <c r="O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</row>
    <row r="840" spans="1:28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200"/>
      <c r="O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</row>
    <row r="841" spans="1:28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200"/>
      <c r="O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</row>
    <row r="842" spans="1:28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200"/>
      <c r="O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</row>
    <row r="843" spans="1:28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200"/>
      <c r="O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  <c r="AB843" s="198"/>
    </row>
    <row r="844" spans="1:28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200"/>
      <c r="O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  <c r="AB844" s="198"/>
    </row>
    <row r="845" spans="1:28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200"/>
      <c r="O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  <c r="AB845" s="198"/>
    </row>
    <row r="846" spans="1:28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200"/>
      <c r="O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  <c r="AB846" s="198"/>
    </row>
    <row r="847" spans="1:28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200"/>
      <c r="O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  <c r="AB847" s="198"/>
    </row>
    <row r="848" spans="1:28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200"/>
      <c r="O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  <c r="AB848" s="198"/>
    </row>
    <row r="849" spans="1:28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200"/>
      <c r="O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  <c r="AB849" s="198"/>
    </row>
    <row r="850" spans="1:28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200"/>
      <c r="O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  <c r="AB850" s="198"/>
    </row>
    <row r="851" spans="1:28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200"/>
      <c r="O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  <c r="AB851" s="198"/>
    </row>
    <row r="852" spans="1:28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200"/>
      <c r="O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  <c r="AB852" s="198"/>
    </row>
    <row r="853" spans="1:28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200"/>
      <c r="O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  <c r="AB853" s="198"/>
    </row>
    <row r="854" spans="1:28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200"/>
      <c r="O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  <c r="AB854" s="198"/>
    </row>
    <row r="855" spans="1:28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200"/>
      <c r="O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  <c r="AB855" s="198"/>
    </row>
    <row r="856" spans="1:28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200"/>
      <c r="O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  <c r="AB856" s="198"/>
    </row>
    <row r="857" spans="1:28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200"/>
      <c r="O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  <c r="AB857" s="198"/>
    </row>
    <row r="858" spans="1:28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200"/>
      <c r="O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  <c r="AB858" s="198"/>
    </row>
    <row r="859" spans="1:28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200"/>
      <c r="O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  <c r="AB859" s="198"/>
    </row>
    <row r="860" spans="1:28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200"/>
      <c r="O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  <c r="AB860" s="198"/>
    </row>
    <row r="861" spans="1:28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200"/>
      <c r="O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  <c r="AB861" s="198"/>
    </row>
    <row r="862" spans="1:28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200"/>
      <c r="O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  <c r="AB862" s="198"/>
    </row>
    <row r="863" spans="1:28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200"/>
      <c r="O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  <c r="AB863" s="198"/>
    </row>
    <row r="864" spans="1:28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200"/>
      <c r="O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  <c r="AB864" s="198"/>
    </row>
    <row r="865" spans="1:28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200"/>
      <c r="O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  <c r="AB865" s="198"/>
    </row>
    <row r="866" spans="1:28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200"/>
      <c r="O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  <c r="AB866" s="198"/>
    </row>
    <row r="867" spans="1:28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200"/>
      <c r="O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  <c r="AB867" s="198"/>
    </row>
    <row r="868" spans="1:28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200"/>
      <c r="O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  <c r="AB868" s="198"/>
    </row>
    <row r="869" spans="1:28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200"/>
      <c r="O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  <c r="AB869" s="198"/>
    </row>
    <row r="870" spans="1:28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200"/>
      <c r="O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  <c r="AB870" s="198"/>
    </row>
    <row r="871" spans="1:28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200"/>
      <c r="O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  <c r="AB871" s="198"/>
    </row>
    <row r="872" spans="1:28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200"/>
      <c r="O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  <c r="AB872" s="198"/>
    </row>
    <row r="873" spans="1:28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200"/>
      <c r="O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  <c r="AB873" s="198"/>
    </row>
    <row r="874" spans="1:28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200"/>
      <c r="O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  <c r="AB874" s="198"/>
    </row>
    <row r="875" spans="1:28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200"/>
      <c r="O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  <c r="AB875" s="198"/>
    </row>
    <row r="876" spans="1:28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200"/>
      <c r="O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  <c r="AB876" s="198"/>
    </row>
    <row r="877" spans="1:28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200"/>
      <c r="O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  <c r="AB877" s="198"/>
    </row>
    <row r="878" spans="1:28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200"/>
      <c r="O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  <c r="AB878" s="198"/>
    </row>
    <row r="879" spans="1:28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200"/>
      <c r="O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  <c r="AB879" s="198"/>
    </row>
    <row r="880" spans="1:28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200"/>
      <c r="O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  <c r="AB880" s="198"/>
    </row>
    <row r="881" spans="1:28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200"/>
      <c r="O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  <c r="AB881" s="198"/>
    </row>
    <row r="882" spans="1:28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200"/>
      <c r="O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  <c r="AB882" s="198"/>
    </row>
    <row r="883" spans="1:28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200"/>
      <c r="O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  <c r="AB883" s="198"/>
    </row>
    <row r="884" spans="1:28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200"/>
      <c r="O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  <c r="AB884" s="198"/>
    </row>
    <row r="885" spans="1:28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200"/>
      <c r="O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  <c r="AB885" s="198"/>
    </row>
    <row r="886" spans="1:28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200"/>
      <c r="O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  <c r="AB886" s="198"/>
    </row>
    <row r="887" spans="1:28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200"/>
      <c r="O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  <c r="AB887" s="198"/>
    </row>
    <row r="888" spans="1:28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200"/>
      <c r="O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  <c r="AB888" s="198"/>
    </row>
    <row r="889" spans="1:28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200"/>
      <c r="O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  <c r="AB889" s="198"/>
    </row>
    <row r="890" spans="1:28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200"/>
      <c r="O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  <c r="AB890" s="198"/>
    </row>
    <row r="891" spans="1:28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200"/>
      <c r="O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  <c r="AB891" s="198"/>
    </row>
    <row r="892" spans="1:28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200"/>
      <c r="O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</row>
    <row r="893" spans="1:28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200"/>
      <c r="O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  <c r="AB893" s="198"/>
    </row>
    <row r="894" spans="1:28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200"/>
      <c r="O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  <c r="AB894" s="198"/>
    </row>
    <row r="895" spans="1:28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200"/>
      <c r="O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  <c r="AB895" s="198"/>
    </row>
    <row r="896" spans="1:28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200"/>
      <c r="O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  <c r="AB896" s="198"/>
    </row>
    <row r="897" spans="1:28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200"/>
      <c r="O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  <c r="AB897" s="198"/>
    </row>
    <row r="898" spans="1:28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200"/>
      <c r="O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  <c r="AB898" s="198"/>
    </row>
    <row r="899" spans="1:28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200"/>
      <c r="O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  <c r="AB899" s="198"/>
    </row>
    <row r="900" spans="1:28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200"/>
      <c r="O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  <c r="AB900" s="198"/>
    </row>
    <row r="901" spans="1:28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200"/>
      <c r="O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  <c r="AB901" s="198"/>
    </row>
    <row r="902" spans="1:28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200"/>
      <c r="O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  <c r="AB902" s="198"/>
    </row>
    <row r="903" spans="1:28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200"/>
      <c r="O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  <c r="AB903" s="198"/>
    </row>
    <row r="904" spans="1:28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200"/>
      <c r="O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  <c r="AB904" s="198"/>
    </row>
    <row r="905" spans="1:28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200"/>
      <c r="O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  <c r="AB905" s="198"/>
    </row>
    <row r="906" spans="1:28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200"/>
      <c r="O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  <c r="AB906" s="198"/>
    </row>
    <row r="907" spans="1:28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200"/>
      <c r="O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  <c r="AB907" s="198"/>
    </row>
    <row r="908" spans="1:28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200"/>
      <c r="O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  <c r="AB908" s="198"/>
    </row>
    <row r="909" spans="1:28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200"/>
      <c r="O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  <c r="AB909" s="198"/>
    </row>
    <row r="910" spans="1:28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200"/>
      <c r="O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  <c r="AB910" s="198"/>
    </row>
    <row r="911" spans="1:28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200"/>
      <c r="O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  <c r="AB911" s="198"/>
    </row>
    <row r="912" spans="1:28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200"/>
      <c r="O912" s="198"/>
      <c r="Q912" s="198"/>
      <c r="R912" s="198"/>
      <c r="S912" s="198"/>
      <c r="T912" s="198"/>
      <c r="U912" s="198"/>
      <c r="V912" s="198"/>
      <c r="W912" s="198"/>
      <c r="X912" s="198"/>
      <c r="Y912" s="198"/>
      <c r="Z912" s="198"/>
      <c r="AA912" s="198"/>
      <c r="AB912" s="198"/>
    </row>
    <row r="913" spans="1:28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200"/>
      <c r="O913" s="198"/>
      <c r="Q913" s="198"/>
      <c r="R913" s="198"/>
      <c r="S913" s="198"/>
      <c r="T913" s="198"/>
      <c r="U913" s="198"/>
      <c r="V913" s="198"/>
      <c r="W913" s="198"/>
      <c r="X913" s="198"/>
      <c r="Y913" s="198"/>
      <c r="Z913" s="198"/>
      <c r="AA913" s="198"/>
      <c r="AB913" s="198"/>
    </row>
    <row r="914" spans="1:28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200"/>
      <c r="O914" s="198"/>
      <c r="Q914" s="198"/>
      <c r="R914" s="198"/>
      <c r="S914" s="198"/>
      <c r="T914" s="198"/>
      <c r="U914" s="198"/>
      <c r="V914" s="198"/>
      <c r="W914" s="198"/>
      <c r="X914" s="198"/>
      <c r="Y914" s="198"/>
      <c r="Z914" s="198"/>
      <c r="AA914" s="198"/>
      <c r="AB914" s="198"/>
    </row>
    <row r="915" spans="1:28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200"/>
      <c r="O915" s="198"/>
      <c r="Q915" s="198"/>
      <c r="R915" s="198"/>
      <c r="S915" s="198"/>
      <c r="T915" s="198"/>
      <c r="U915" s="198"/>
      <c r="V915" s="198"/>
      <c r="W915" s="198"/>
      <c r="X915" s="198"/>
      <c r="Y915" s="198"/>
      <c r="Z915" s="198"/>
      <c r="AA915" s="198"/>
      <c r="AB915" s="198"/>
    </row>
    <row r="916" spans="1:28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200"/>
      <c r="O916" s="198"/>
      <c r="Q916" s="198"/>
      <c r="R916" s="198"/>
      <c r="S916" s="198"/>
      <c r="T916" s="198"/>
      <c r="U916" s="198"/>
      <c r="V916" s="198"/>
      <c r="W916" s="198"/>
      <c r="X916" s="198"/>
      <c r="Y916" s="198"/>
      <c r="Z916" s="198"/>
      <c r="AA916" s="198"/>
      <c r="AB916" s="198"/>
    </row>
    <row r="917" spans="1:28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200"/>
      <c r="O917" s="198"/>
      <c r="Q917" s="198"/>
      <c r="R917" s="198"/>
      <c r="S917" s="198"/>
      <c r="T917" s="198"/>
      <c r="U917" s="198"/>
      <c r="V917" s="198"/>
      <c r="W917" s="198"/>
      <c r="X917" s="198"/>
      <c r="Y917" s="198"/>
      <c r="Z917" s="198"/>
      <c r="AA917" s="198"/>
      <c r="AB917" s="198"/>
    </row>
    <row r="918" spans="1:28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200"/>
      <c r="O918" s="198"/>
      <c r="Q918" s="198"/>
      <c r="R918" s="198"/>
      <c r="S918" s="198"/>
      <c r="T918" s="198"/>
      <c r="U918" s="198"/>
      <c r="V918" s="198"/>
      <c r="W918" s="198"/>
      <c r="X918" s="198"/>
      <c r="Y918" s="198"/>
      <c r="Z918" s="198"/>
      <c r="AA918" s="198"/>
      <c r="AB918" s="198"/>
    </row>
    <row r="919" spans="1:28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200"/>
      <c r="O919" s="198"/>
      <c r="Q919" s="198"/>
      <c r="R919" s="198"/>
      <c r="S919" s="198"/>
      <c r="T919" s="198"/>
      <c r="U919" s="198"/>
      <c r="V919" s="198"/>
      <c r="W919" s="198"/>
      <c r="X919" s="198"/>
      <c r="Y919" s="198"/>
      <c r="Z919" s="198"/>
      <c r="AA919" s="198"/>
      <c r="AB919" s="198"/>
    </row>
    <row r="920" spans="1:28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200"/>
      <c r="O920" s="198"/>
      <c r="Q920" s="198"/>
      <c r="R920" s="198"/>
      <c r="S920" s="198"/>
      <c r="T920" s="198"/>
      <c r="U920" s="198"/>
      <c r="V920" s="198"/>
      <c r="W920" s="198"/>
      <c r="X920" s="198"/>
      <c r="Y920" s="198"/>
      <c r="Z920" s="198"/>
      <c r="AA920" s="198"/>
      <c r="AB920" s="198"/>
    </row>
    <row r="921" spans="1:28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200"/>
      <c r="O921" s="198"/>
      <c r="Q921" s="198"/>
      <c r="R921" s="198"/>
      <c r="S921" s="198"/>
      <c r="T921" s="198"/>
      <c r="U921" s="198"/>
      <c r="V921" s="198"/>
      <c r="W921" s="198"/>
      <c r="X921" s="198"/>
      <c r="Y921" s="198"/>
      <c r="Z921" s="198"/>
      <c r="AA921" s="198"/>
      <c r="AB921" s="198"/>
    </row>
    <row r="922" spans="1:28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200"/>
      <c r="O922" s="198"/>
      <c r="Q922" s="198"/>
      <c r="R922" s="198"/>
      <c r="S922" s="198"/>
      <c r="T922" s="198"/>
      <c r="U922" s="198"/>
      <c r="V922" s="198"/>
      <c r="W922" s="198"/>
      <c r="X922" s="198"/>
      <c r="Y922" s="198"/>
      <c r="Z922" s="198"/>
      <c r="AA922" s="198"/>
      <c r="AB922" s="198"/>
    </row>
    <row r="923" spans="1:28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200"/>
      <c r="O923" s="198"/>
      <c r="Q923" s="198"/>
      <c r="R923" s="198"/>
      <c r="S923" s="198"/>
      <c r="T923" s="198"/>
      <c r="U923" s="198"/>
      <c r="V923" s="198"/>
      <c r="W923" s="198"/>
      <c r="X923" s="198"/>
      <c r="Y923" s="198"/>
      <c r="Z923" s="198"/>
      <c r="AA923" s="198"/>
      <c r="AB923" s="198"/>
    </row>
    <row r="924" spans="1:28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200"/>
      <c r="O924" s="198"/>
      <c r="Q924" s="198"/>
      <c r="R924" s="198"/>
      <c r="S924" s="198"/>
      <c r="T924" s="198"/>
      <c r="U924" s="198"/>
      <c r="V924" s="198"/>
      <c r="W924" s="198"/>
      <c r="X924" s="198"/>
      <c r="Y924" s="198"/>
      <c r="Z924" s="198"/>
      <c r="AA924" s="198"/>
      <c r="AB924" s="198"/>
    </row>
    <row r="925" spans="1:28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200"/>
      <c r="O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  <c r="AB925" s="198"/>
    </row>
    <row r="926" spans="1:28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200"/>
      <c r="O926" s="198"/>
      <c r="Q926" s="198"/>
      <c r="R926" s="198"/>
      <c r="S926" s="198"/>
      <c r="T926" s="198"/>
      <c r="U926" s="198"/>
      <c r="V926" s="198"/>
      <c r="W926" s="198"/>
      <c r="X926" s="198"/>
      <c r="Y926" s="198"/>
      <c r="Z926" s="198"/>
      <c r="AA926" s="198"/>
      <c r="AB926" s="198"/>
    </row>
    <row r="927" spans="1:28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200"/>
      <c r="O927" s="198"/>
      <c r="Q927" s="198"/>
      <c r="R927" s="198"/>
      <c r="S927" s="198"/>
      <c r="T927" s="198"/>
      <c r="U927" s="198"/>
      <c r="V927" s="198"/>
      <c r="W927" s="198"/>
      <c r="X927" s="198"/>
      <c r="Y927" s="198"/>
      <c r="Z927" s="198"/>
      <c r="AA927" s="198"/>
      <c r="AB927" s="198"/>
    </row>
    <row r="928" spans="1:28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200"/>
      <c r="O928" s="198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  <c r="AB928" s="198"/>
    </row>
    <row r="929" spans="1:28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200"/>
      <c r="O929" s="198"/>
      <c r="Q929" s="198"/>
      <c r="R929" s="198"/>
      <c r="S929" s="198"/>
      <c r="T929" s="198"/>
      <c r="U929" s="198"/>
      <c r="V929" s="198"/>
      <c r="W929" s="198"/>
      <c r="X929" s="198"/>
      <c r="Y929" s="198"/>
      <c r="Z929" s="198"/>
      <c r="AA929" s="198"/>
      <c r="AB929" s="198"/>
    </row>
    <row r="930" spans="1:28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200"/>
      <c r="O930" s="198"/>
      <c r="Q930" s="198"/>
      <c r="R930" s="198"/>
      <c r="S930" s="198"/>
      <c r="T930" s="198"/>
      <c r="U930" s="198"/>
      <c r="V930" s="198"/>
      <c r="W930" s="198"/>
      <c r="X930" s="198"/>
      <c r="Y930" s="198"/>
      <c r="Z930" s="198"/>
      <c r="AA930" s="198"/>
      <c r="AB930" s="198"/>
    </row>
    <row r="931" spans="1:28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200"/>
      <c r="O931" s="198"/>
      <c r="Q931" s="198"/>
      <c r="R931" s="198"/>
      <c r="S931" s="198"/>
      <c r="T931" s="198"/>
      <c r="U931" s="198"/>
      <c r="V931" s="198"/>
      <c r="W931" s="198"/>
      <c r="X931" s="198"/>
      <c r="Y931" s="198"/>
      <c r="Z931" s="198"/>
      <c r="AA931" s="198"/>
      <c r="AB931" s="198"/>
    </row>
    <row r="932" spans="1:28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200"/>
      <c r="O932" s="198"/>
      <c r="Q932" s="198"/>
      <c r="R932" s="198"/>
      <c r="S932" s="198"/>
      <c r="T932" s="198"/>
      <c r="U932" s="198"/>
      <c r="V932" s="198"/>
      <c r="W932" s="198"/>
      <c r="X932" s="198"/>
      <c r="Y932" s="198"/>
      <c r="Z932" s="198"/>
      <c r="AA932" s="198"/>
      <c r="AB932" s="198"/>
    </row>
    <row r="933" spans="1:28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200"/>
      <c r="O933" s="198"/>
      <c r="Q933" s="198"/>
      <c r="R933" s="198"/>
      <c r="S933" s="198"/>
      <c r="T933" s="198"/>
      <c r="U933" s="198"/>
      <c r="V933" s="198"/>
      <c r="W933" s="198"/>
      <c r="X933" s="198"/>
      <c r="Y933" s="198"/>
      <c r="Z933" s="198"/>
      <c r="AA933" s="198"/>
      <c r="AB933" s="198"/>
    </row>
    <row r="934" spans="1:28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200"/>
      <c r="O934" s="198"/>
      <c r="Q934" s="198"/>
      <c r="R934" s="198"/>
      <c r="S934" s="198"/>
      <c r="T934" s="198"/>
      <c r="U934" s="198"/>
      <c r="V934" s="198"/>
      <c r="W934" s="198"/>
      <c r="X934" s="198"/>
      <c r="Y934" s="198"/>
      <c r="Z934" s="198"/>
      <c r="AA934" s="198"/>
      <c r="AB934" s="198"/>
    </row>
    <row r="935" spans="1:28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200"/>
      <c r="O935" s="198"/>
      <c r="Q935" s="198"/>
      <c r="R935" s="198"/>
      <c r="S935" s="198"/>
      <c r="T935" s="198"/>
      <c r="U935" s="198"/>
      <c r="V935" s="198"/>
      <c r="W935" s="198"/>
      <c r="X935" s="198"/>
      <c r="Y935" s="198"/>
      <c r="Z935" s="198"/>
      <c r="AA935" s="198"/>
      <c r="AB935" s="198"/>
    </row>
    <row r="936" spans="1:28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200"/>
      <c r="O936" s="198"/>
      <c r="Q936" s="198"/>
      <c r="R936" s="198"/>
      <c r="S936" s="198"/>
      <c r="T936" s="198"/>
      <c r="U936" s="198"/>
      <c r="V936" s="198"/>
      <c r="W936" s="198"/>
      <c r="X936" s="198"/>
      <c r="Y936" s="198"/>
      <c r="Z936" s="198"/>
      <c r="AA936" s="198"/>
      <c r="AB936" s="198"/>
    </row>
    <row r="937" spans="1:28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200"/>
      <c r="O937" s="198"/>
      <c r="Q937" s="198"/>
      <c r="R937" s="198"/>
      <c r="S937" s="198"/>
      <c r="T937" s="198"/>
      <c r="U937" s="198"/>
      <c r="V937" s="198"/>
      <c r="W937" s="198"/>
      <c r="X937" s="198"/>
      <c r="Y937" s="198"/>
      <c r="Z937" s="198"/>
      <c r="AA937" s="198"/>
      <c r="AB937" s="198"/>
    </row>
    <row r="938" spans="1:28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200"/>
      <c r="O938" s="198"/>
      <c r="Q938" s="198"/>
      <c r="R938" s="198"/>
      <c r="S938" s="198"/>
      <c r="T938" s="198"/>
      <c r="U938" s="198"/>
      <c r="V938" s="198"/>
      <c r="W938" s="198"/>
      <c r="X938" s="198"/>
      <c r="Y938" s="198"/>
      <c r="Z938" s="198"/>
      <c r="AA938" s="198"/>
      <c r="AB938" s="198"/>
    </row>
    <row r="939" spans="1:28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200"/>
      <c r="O939" s="198"/>
      <c r="Q939" s="198"/>
      <c r="R939" s="198"/>
      <c r="S939" s="198"/>
      <c r="T939" s="198"/>
      <c r="U939" s="198"/>
      <c r="V939" s="198"/>
      <c r="W939" s="198"/>
      <c r="X939" s="198"/>
      <c r="Y939" s="198"/>
      <c r="Z939" s="198"/>
      <c r="AA939" s="198"/>
      <c r="AB939" s="198"/>
    </row>
    <row r="940" spans="1:28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200"/>
      <c r="O940" s="198"/>
      <c r="Q940" s="198"/>
      <c r="R940" s="198"/>
      <c r="S940" s="198"/>
      <c r="T940" s="198"/>
      <c r="U940" s="198"/>
      <c r="V940" s="198"/>
      <c r="W940" s="198"/>
      <c r="X940" s="198"/>
      <c r="Y940" s="198"/>
      <c r="Z940" s="198"/>
      <c r="AA940" s="198"/>
      <c r="AB940" s="198"/>
    </row>
    <row r="941" spans="1:28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200"/>
      <c r="O941" s="198"/>
      <c r="Q941" s="198"/>
      <c r="R941" s="198"/>
      <c r="S941" s="198"/>
      <c r="T941" s="198"/>
      <c r="U941" s="198"/>
      <c r="V941" s="198"/>
      <c r="W941" s="198"/>
      <c r="X941" s="198"/>
      <c r="Y941" s="198"/>
      <c r="Z941" s="198"/>
      <c r="AA941" s="198"/>
      <c r="AB941" s="198"/>
    </row>
    <row r="942" spans="1:28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200"/>
      <c r="O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  <c r="AB942" s="198"/>
    </row>
    <row r="943" spans="1:28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200"/>
      <c r="O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  <c r="AB943" s="198"/>
    </row>
    <row r="944" spans="1:28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200"/>
      <c r="O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  <c r="AB944" s="198"/>
    </row>
    <row r="945" spans="1:28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200"/>
      <c r="O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  <c r="AB945" s="198"/>
    </row>
    <row r="946" spans="1:28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200"/>
      <c r="O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  <c r="AB946" s="198"/>
    </row>
    <row r="947" spans="1:28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200"/>
      <c r="O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  <c r="AB947" s="198"/>
    </row>
    <row r="948" spans="1:28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200"/>
      <c r="O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  <c r="AB948" s="198"/>
    </row>
    <row r="949" spans="1:28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200"/>
      <c r="O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  <c r="AB949" s="198"/>
    </row>
    <row r="950" spans="1:28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200"/>
      <c r="O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  <c r="AB950" s="198"/>
    </row>
    <row r="951" spans="1:28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200"/>
      <c r="O951" s="198"/>
      <c r="Q951" s="198"/>
      <c r="R951" s="198"/>
      <c r="S951" s="198"/>
      <c r="T951" s="198"/>
      <c r="U951" s="198"/>
      <c r="V951" s="198"/>
      <c r="W951" s="198"/>
      <c r="X951" s="198"/>
      <c r="Y951" s="198"/>
      <c r="Z951" s="198"/>
      <c r="AA951" s="198"/>
      <c r="AB951" s="198"/>
    </row>
    <row r="952" spans="1:28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200"/>
      <c r="O952" s="198"/>
      <c r="Q952" s="198"/>
      <c r="R952" s="198"/>
      <c r="S952" s="198"/>
      <c r="T952" s="198"/>
      <c r="U952" s="198"/>
      <c r="V952" s="198"/>
      <c r="W952" s="198"/>
      <c r="X952" s="198"/>
      <c r="Y952" s="198"/>
      <c r="Z952" s="198"/>
      <c r="AA952" s="198"/>
      <c r="AB952" s="198"/>
    </row>
    <row r="953" spans="1:28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200"/>
      <c r="O953" s="198"/>
      <c r="Q953" s="198"/>
      <c r="R953" s="198"/>
      <c r="S953" s="198"/>
      <c r="T953" s="198"/>
      <c r="U953" s="198"/>
      <c r="V953" s="198"/>
      <c r="W953" s="198"/>
      <c r="X953" s="198"/>
      <c r="Y953" s="198"/>
      <c r="Z953" s="198"/>
      <c r="AA953" s="198"/>
      <c r="AB953" s="198"/>
    </row>
    <row r="954" spans="1:28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200"/>
      <c r="O954" s="198"/>
      <c r="Q954" s="198"/>
      <c r="R954" s="198"/>
      <c r="S954" s="198"/>
      <c r="T954" s="198"/>
      <c r="U954" s="198"/>
      <c r="V954" s="198"/>
      <c r="W954" s="198"/>
      <c r="X954" s="198"/>
      <c r="Y954" s="198"/>
      <c r="Z954" s="198"/>
      <c r="AA954" s="198"/>
      <c r="AB954" s="198"/>
    </row>
    <row r="955" spans="1:28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200"/>
      <c r="O955" s="198"/>
      <c r="Q955" s="198"/>
      <c r="R955" s="198"/>
      <c r="S955" s="198"/>
      <c r="T955" s="198"/>
      <c r="U955" s="198"/>
      <c r="V955" s="198"/>
      <c r="W955" s="198"/>
      <c r="X955" s="198"/>
      <c r="Y955" s="198"/>
      <c r="Z955" s="198"/>
      <c r="AA955" s="198"/>
      <c r="AB955" s="198"/>
    </row>
    <row r="956" spans="1:28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200"/>
      <c r="O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  <c r="AB956" s="198"/>
    </row>
    <row r="957" spans="1:28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200"/>
      <c r="O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  <c r="AB957" s="198"/>
    </row>
    <row r="958" spans="1:28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200"/>
      <c r="O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  <c r="AB958" s="198"/>
    </row>
    <row r="959" spans="1:28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200"/>
      <c r="O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  <c r="AB959" s="198"/>
    </row>
    <row r="960" spans="1:28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200"/>
      <c r="O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  <c r="AB960" s="198"/>
    </row>
    <row r="961" spans="1:28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200"/>
      <c r="O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  <c r="AB961" s="198"/>
    </row>
    <row r="962" spans="1:28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200"/>
      <c r="O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  <c r="AB962" s="198"/>
    </row>
    <row r="963" spans="1:28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200"/>
      <c r="O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  <c r="AB963" s="198"/>
    </row>
    <row r="964" spans="1:28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200"/>
      <c r="O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  <c r="AB964" s="198"/>
    </row>
    <row r="965" spans="1:28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200"/>
      <c r="O965" s="198"/>
      <c r="Q965" s="198"/>
      <c r="R965" s="198"/>
      <c r="S965" s="198"/>
      <c r="T965" s="198"/>
      <c r="U965" s="198"/>
      <c r="V965" s="198"/>
      <c r="W965" s="198"/>
      <c r="X965" s="198"/>
      <c r="Y965" s="198"/>
      <c r="Z965" s="198"/>
      <c r="AA965" s="198"/>
      <c r="AB965" s="198"/>
    </row>
    <row r="966" spans="1:28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200"/>
      <c r="O966" s="198"/>
      <c r="Q966" s="198"/>
      <c r="R966" s="198"/>
      <c r="S966" s="198"/>
      <c r="T966" s="198"/>
      <c r="U966" s="198"/>
      <c r="V966" s="198"/>
      <c r="W966" s="198"/>
      <c r="X966" s="198"/>
      <c r="Y966" s="198"/>
      <c r="Z966" s="198"/>
      <c r="AA966" s="198"/>
      <c r="AB966" s="198"/>
    </row>
    <row r="967" spans="1:28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200"/>
      <c r="O967" s="198"/>
      <c r="Q967" s="198"/>
      <c r="R967" s="198"/>
      <c r="S967" s="198"/>
      <c r="T967" s="198"/>
      <c r="U967" s="198"/>
      <c r="V967" s="198"/>
      <c r="W967" s="198"/>
      <c r="X967" s="198"/>
      <c r="Y967" s="198"/>
      <c r="Z967" s="198"/>
      <c r="AA967" s="198"/>
      <c r="AB967" s="198"/>
    </row>
    <row r="968" spans="1:28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200"/>
      <c r="O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  <c r="AB968" s="198"/>
    </row>
    <row r="969" spans="1:28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200"/>
      <c r="O969" s="198"/>
      <c r="Q969" s="198"/>
      <c r="R969" s="198"/>
      <c r="S969" s="198"/>
      <c r="T969" s="198"/>
      <c r="U969" s="198"/>
      <c r="V969" s="198"/>
      <c r="W969" s="198"/>
      <c r="X969" s="198"/>
      <c r="Y969" s="198"/>
      <c r="Z969" s="198"/>
      <c r="AA969" s="198"/>
      <c r="AB969" s="198"/>
    </row>
    <row r="970" spans="1:28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200"/>
      <c r="O970" s="198"/>
      <c r="Q970" s="198"/>
      <c r="R970" s="198"/>
      <c r="S970" s="198"/>
      <c r="T970" s="198"/>
      <c r="U970" s="198"/>
      <c r="V970" s="198"/>
      <c r="W970" s="198"/>
      <c r="X970" s="198"/>
      <c r="Y970" s="198"/>
      <c r="Z970" s="198"/>
      <c r="AA970" s="198"/>
      <c r="AB970" s="198"/>
    </row>
    <row r="971" spans="1:28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200"/>
      <c r="O971" s="198"/>
      <c r="Q971" s="198"/>
      <c r="R971" s="198"/>
      <c r="S971" s="198"/>
      <c r="T971" s="198"/>
      <c r="U971" s="198"/>
      <c r="V971" s="198"/>
      <c r="W971" s="198"/>
      <c r="X971" s="198"/>
      <c r="Y971" s="198"/>
      <c r="Z971" s="198"/>
      <c r="AA971" s="198"/>
      <c r="AB971" s="198"/>
    </row>
    <row r="972" spans="1:28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200"/>
      <c r="O972" s="198"/>
      <c r="Q972" s="198"/>
      <c r="R972" s="198"/>
      <c r="S972" s="198"/>
      <c r="T972" s="198"/>
      <c r="U972" s="198"/>
      <c r="V972" s="198"/>
      <c r="W972" s="198"/>
      <c r="X972" s="198"/>
      <c r="Y972" s="198"/>
      <c r="Z972" s="198"/>
      <c r="AA972" s="198"/>
      <c r="AB972" s="198"/>
    </row>
    <row r="973" spans="1:28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200"/>
      <c r="O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  <c r="AB973" s="198"/>
    </row>
    <row r="974" spans="1:28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200"/>
      <c r="O974" s="198"/>
      <c r="Q974" s="198"/>
      <c r="R974" s="198"/>
      <c r="S974" s="198"/>
      <c r="T974" s="198"/>
      <c r="U974" s="198"/>
      <c r="V974" s="198"/>
      <c r="W974" s="198"/>
      <c r="X974" s="198"/>
      <c r="Y974" s="198"/>
      <c r="Z974" s="198"/>
      <c r="AA974" s="198"/>
      <c r="AB974" s="198"/>
    </row>
    <row r="975" spans="1:28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200"/>
      <c r="O975" s="198"/>
      <c r="Q975" s="198"/>
      <c r="R975" s="198"/>
      <c r="S975" s="198"/>
      <c r="T975" s="198"/>
      <c r="U975" s="198"/>
      <c r="V975" s="198"/>
      <c r="W975" s="198"/>
      <c r="X975" s="198"/>
      <c r="Y975" s="198"/>
      <c r="Z975" s="198"/>
      <c r="AA975" s="198"/>
      <c r="AB975" s="198"/>
    </row>
    <row r="976" spans="1:28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200"/>
      <c r="O976" s="198"/>
      <c r="Q976" s="198"/>
      <c r="R976" s="198"/>
      <c r="S976" s="198"/>
      <c r="T976" s="198"/>
      <c r="U976" s="198"/>
      <c r="V976" s="198"/>
      <c r="W976" s="198"/>
      <c r="X976" s="198"/>
      <c r="Y976" s="198"/>
      <c r="Z976" s="198"/>
      <c r="AA976" s="198"/>
      <c r="AB976" s="198"/>
    </row>
    <row r="977" spans="1:28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200"/>
      <c r="O977" s="198"/>
      <c r="Q977" s="198"/>
      <c r="R977" s="198"/>
      <c r="S977" s="198"/>
      <c r="T977" s="198"/>
      <c r="U977" s="198"/>
      <c r="V977" s="198"/>
      <c r="W977" s="198"/>
      <c r="X977" s="198"/>
      <c r="Y977" s="198"/>
      <c r="Z977" s="198"/>
      <c r="AA977" s="198"/>
      <c r="AB977" s="198"/>
    </row>
    <row r="978" spans="1:28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200"/>
      <c r="O978" s="198"/>
      <c r="Q978" s="198"/>
      <c r="R978" s="198"/>
      <c r="S978" s="198"/>
      <c r="T978" s="198"/>
      <c r="U978" s="198"/>
      <c r="V978" s="198"/>
      <c r="W978" s="198"/>
      <c r="X978" s="198"/>
      <c r="Y978" s="198"/>
      <c r="Z978" s="198"/>
      <c r="AA978" s="198"/>
      <c r="AB978" s="198"/>
    </row>
    <row r="979" spans="1:28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200"/>
      <c r="O979" s="198"/>
      <c r="Q979" s="198"/>
      <c r="R979" s="198"/>
      <c r="S979" s="198"/>
      <c r="T979" s="198"/>
      <c r="U979" s="198"/>
      <c r="V979" s="198"/>
      <c r="W979" s="198"/>
      <c r="X979" s="198"/>
      <c r="Y979" s="198"/>
      <c r="Z979" s="198"/>
      <c r="AA979" s="198"/>
      <c r="AB979" s="198"/>
    </row>
    <row r="980" spans="1:28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200"/>
      <c r="O980" s="198"/>
      <c r="Q980" s="198"/>
      <c r="R980" s="198"/>
      <c r="S980" s="198"/>
      <c r="T980" s="198"/>
      <c r="U980" s="198"/>
      <c r="V980" s="198"/>
      <c r="W980" s="198"/>
      <c r="X980" s="198"/>
      <c r="Y980" s="198"/>
      <c r="Z980" s="198"/>
      <c r="AA980" s="198"/>
      <c r="AB980" s="198"/>
    </row>
    <row r="981" spans="1:28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200"/>
      <c r="O981" s="198"/>
      <c r="Q981" s="198"/>
      <c r="R981" s="198"/>
      <c r="S981" s="198"/>
      <c r="T981" s="198"/>
      <c r="U981" s="198"/>
      <c r="V981" s="198"/>
      <c r="W981" s="198"/>
      <c r="X981" s="198"/>
      <c r="Y981" s="198"/>
      <c r="Z981" s="198"/>
      <c r="AA981" s="198"/>
      <c r="AB981" s="198"/>
    </row>
    <row r="982" spans="1:28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200"/>
      <c r="O982" s="198"/>
      <c r="Q982" s="198"/>
      <c r="R982" s="198"/>
      <c r="S982" s="198"/>
      <c r="T982" s="198"/>
      <c r="U982" s="198"/>
      <c r="V982" s="198"/>
      <c r="W982" s="198"/>
      <c r="X982" s="198"/>
      <c r="Y982" s="198"/>
      <c r="Z982" s="198"/>
      <c r="AA982" s="198"/>
      <c r="AB982" s="198"/>
    </row>
    <row r="983" spans="1:28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200"/>
      <c r="O983" s="198"/>
      <c r="Q983" s="198"/>
      <c r="R983" s="198"/>
      <c r="S983" s="198"/>
      <c r="T983" s="198"/>
      <c r="U983" s="198"/>
      <c r="V983" s="198"/>
      <c r="W983" s="198"/>
      <c r="X983" s="198"/>
      <c r="Y983" s="198"/>
      <c r="Z983" s="198"/>
      <c r="AA983" s="198"/>
      <c r="AB983" s="198"/>
    </row>
    <row r="984" spans="1:28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200"/>
      <c r="O984" s="198"/>
      <c r="Q984" s="198"/>
      <c r="R984" s="198"/>
      <c r="S984" s="198"/>
      <c r="T984" s="198"/>
      <c r="U984" s="198"/>
      <c r="V984" s="198"/>
      <c r="W984" s="198"/>
      <c r="X984" s="198"/>
      <c r="Y984" s="198"/>
      <c r="Z984" s="198"/>
      <c r="AA984" s="198"/>
      <c r="AB984" s="198"/>
    </row>
    <row r="985" spans="1:28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200"/>
      <c r="O985" s="198"/>
      <c r="Q985" s="198"/>
      <c r="R985" s="198"/>
      <c r="S985" s="198"/>
      <c r="T985" s="198"/>
      <c r="U985" s="198"/>
      <c r="V985" s="198"/>
      <c r="W985" s="198"/>
      <c r="X985" s="198"/>
      <c r="Y985" s="198"/>
      <c r="Z985" s="198"/>
      <c r="AA985" s="198"/>
      <c r="AB985" s="198"/>
    </row>
    <row r="986" spans="1:28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200"/>
      <c r="O986" s="198"/>
      <c r="Q986" s="198"/>
      <c r="R986" s="198"/>
      <c r="S986" s="198"/>
      <c r="T986" s="198"/>
      <c r="U986" s="198"/>
      <c r="V986" s="198"/>
      <c r="W986" s="198"/>
      <c r="X986" s="198"/>
      <c r="Y986" s="198"/>
      <c r="Z986" s="198"/>
      <c r="AA986" s="198"/>
      <c r="AB986" s="198"/>
    </row>
    <row r="987" spans="1:28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200"/>
      <c r="O987" s="198"/>
      <c r="Q987" s="198"/>
      <c r="R987" s="198"/>
      <c r="S987" s="198"/>
      <c r="T987" s="198"/>
      <c r="U987" s="198"/>
      <c r="V987" s="198"/>
      <c r="W987" s="198"/>
      <c r="X987" s="198"/>
      <c r="Y987" s="198"/>
      <c r="Z987" s="198"/>
      <c r="AA987" s="198"/>
      <c r="AB987" s="198"/>
    </row>
    <row r="988" spans="1:28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200"/>
      <c r="O988" s="198"/>
      <c r="Q988" s="198"/>
      <c r="R988" s="198"/>
      <c r="S988" s="198"/>
      <c r="T988" s="198"/>
      <c r="U988" s="198"/>
      <c r="V988" s="198"/>
      <c r="W988" s="198"/>
      <c r="X988" s="198"/>
      <c r="Y988" s="198"/>
      <c r="Z988" s="198"/>
      <c r="AA988" s="198"/>
      <c r="AB988" s="198"/>
    </row>
    <row r="989" spans="1:28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200"/>
      <c r="O989" s="198"/>
      <c r="Q989" s="198"/>
      <c r="R989" s="198"/>
      <c r="S989" s="198"/>
      <c r="T989" s="198"/>
      <c r="U989" s="198"/>
      <c r="V989" s="198"/>
      <c r="W989" s="198"/>
      <c r="X989" s="198"/>
      <c r="Y989" s="198"/>
      <c r="Z989" s="198"/>
      <c r="AA989" s="198"/>
      <c r="AB989" s="198"/>
    </row>
    <row r="990" spans="1:28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200"/>
      <c r="O990" s="198"/>
      <c r="Q990" s="198"/>
      <c r="R990" s="198"/>
      <c r="S990" s="198"/>
      <c r="T990" s="198"/>
      <c r="U990" s="198"/>
      <c r="V990" s="198"/>
      <c r="W990" s="198"/>
      <c r="X990" s="198"/>
      <c r="Y990" s="198"/>
      <c r="Z990" s="198"/>
      <c r="AA990" s="198"/>
      <c r="AB990" s="198"/>
    </row>
    <row r="991" spans="1:28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200"/>
      <c r="O991" s="198"/>
      <c r="Q991" s="198"/>
      <c r="R991" s="198"/>
      <c r="S991" s="198"/>
      <c r="T991" s="198"/>
      <c r="U991" s="198"/>
      <c r="V991" s="198"/>
      <c r="W991" s="198"/>
      <c r="X991" s="198"/>
      <c r="Y991" s="198"/>
      <c r="Z991" s="198"/>
      <c r="AA991" s="198"/>
      <c r="AB991" s="198"/>
    </row>
    <row r="992" spans="1:28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200"/>
      <c r="O992" s="198"/>
      <c r="Q992" s="198"/>
      <c r="R992" s="198"/>
      <c r="S992" s="198"/>
      <c r="T992" s="198"/>
      <c r="U992" s="198"/>
      <c r="V992" s="198"/>
      <c r="W992" s="198"/>
      <c r="X992" s="198"/>
      <c r="Y992" s="198"/>
      <c r="Z992" s="198"/>
      <c r="AA992" s="198"/>
      <c r="AB992" s="198"/>
    </row>
    <row r="993" spans="1:28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200"/>
      <c r="O993" s="198"/>
      <c r="Q993" s="198"/>
      <c r="R993" s="198"/>
      <c r="S993" s="198"/>
      <c r="T993" s="198"/>
      <c r="U993" s="198"/>
      <c r="V993" s="198"/>
      <c r="W993" s="198"/>
      <c r="X993" s="198"/>
      <c r="Y993" s="198"/>
      <c r="Z993" s="198"/>
      <c r="AA993" s="198"/>
      <c r="AB993" s="198"/>
    </row>
    <row r="994" spans="1:28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200"/>
      <c r="O994" s="198"/>
      <c r="Q994" s="198"/>
      <c r="R994" s="198"/>
      <c r="S994" s="198"/>
      <c r="T994" s="198"/>
      <c r="U994" s="198"/>
      <c r="V994" s="198"/>
      <c r="W994" s="198"/>
      <c r="X994" s="198"/>
      <c r="Y994" s="198"/>
      <c r="Z994" s="198"/>
      <c r="AA994" s="198"/>
      <c r="AB994" s="198"/>
    </row>
    <row r="995" spans="1:28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200"/>
      <c r="O995" s="198"/>
      <c r="Q995" s="198"/>
      <c r="R995" s="198"/>
      <c r="S995" s="198"/>
      <c r="T995" s="198"/>
      <c r="U995" s="198"/>
      <c r="V995" s="198"/>
      <c r="W995" s="198"/>
      <c r="X995" s="198"/>
      <c r="Y995" s="198"/>
      <c r="Z995" s="198"/>
      <c r="AA995" s="198"/>
      <c r="AB995" s="198"/>
    </row>
    <row r="996" spans="1:28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200"/>
      <c r="O996" s="198"/>
      <c r="Q996" s="198"/>
      <c r="R996" s="198"/>
      <c r="S996" s="198"/>
      <c r="T996" s="198"/>
      <c r="U996" s="198"/>
      <c r="V996" s="198"/>
      <c r="W996" s="198"/>
      <c r="X996" s="198"/>
      <c r="Y996" s="198"/>
      <c r="Z996" s="198"/>
      <c r="AA996" s="198"/>
      <c r="AB996" s="198"/>
    </row>
    <row r="997" spans="1:28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200"/>
      <c r="O997" s="198"/>
      <c r="Q997" s="198"/>
      <c r="R997" s="198"/>
      <c r="S997" s="198"/>
      <c r="T997" s="198"/>
      <c r="U997" s="198"/>
      <c r="V997" s="198"/>
      <c r="W997" s="198"/>
      <c r="X997" s="198"/>
      <c r="Y997" s="198"/>
      <c r="Z997" s="198"/>
      <c r="AA997" s="198"/>
      <c r="AB997" s="198"/>
    </row>
    <row r="998" spans="1:28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200"/>
      <c r="O998" s="198"/>
      <c r="Q998" s="198"/>
      <c r="R998" s="198"/>
      <c r="S998" s="198"/>
      <c r="T998" s="198"/>
      <c r="U998" s="198"/>
      <c r="V998" s="198"/>
      <c r="W998" s="198"/>
      <c r="X998" s="198"/>
      <c r="Y998" s="198"/>
      <c r="Z998" s="198"/>
      <c r="AA998" s="198"/>
      <c r="AB998" s="198"/>
    </row>
    <row r="999" spans="1:28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200"/>
      <c r="O999" s="198"/>
      <c r="Q999" s="198"/>
      <c r="R999" s="198"/>
      <c r="S999" s="198"/>
      <c r="T999" s="198"/>
      <c r="U999" s="198"/>
      <c r="V999" s="198"/>
      <c r="W999" s="198"/>
      <c r="X999" s="198"/>
      <c r="Y999" s="198"/>
      <c r="Z999" s="198"/>
      <c r="AA999" s="198"/>
      <c r="AB999" s="198"/>
    </row>
    <row r="1000" spans="1:28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200"/>
      <c r="O1000" s="198"/>
      <c r="Q1000" s="198"/>
      <c r="R1000" s="198"/>
      <c r="S1000" s="198"/>
      <c r="T1000" s="198"/>
      <c r="U1000" s="198"/>
      <c r="V1000" s="198"/>
      <c r="W1000" s="198"/>
      <c r="X1000" s="198"/>
      <c r="Y1000" s="198"/>
      <c r="Z1000" s="198"/>
      <c r="AA1000" s="198"/>
      <c r="AB1000" s="198"/>
    </row>
  </sheetData>
  <mergeCells count="6">
    <mergeCell ref="E17:E22"/>
    <mergeCell ref="B2:C2"/>
    <mergeCell ref="E2:R2"/>
    <mergeCell ref="E5:E7"/>
    <mergeCell ref="E8:E11"/>
    <mergeCell ref="E12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4.44140625" defaultRowHeight="15" customHeight="1"/>
  <cols>
    <col min="1" max="26" width="9.1093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Période 0</vt:lpstr>
      <vt:lpstr>Période 1</vt:lpstr>
      <vt:lpstr>Période 2</vt:lpstr>
      <vt:lpstr>Période 3</vt:lpstr>
      <vt:lpstr>Période 4</vt:lpstr>
      <vt:lpstr>PASTOUCHER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Barou</dc:creator>
  <cp:lastModifiedBy>Cecile Le-Breton</cp:lastModifiedBy>
  <dcterms:created xsi:type="dcterms:W3CDTF">2024-02-13T07:41:18Z</dcterms:created>
  <dcterms:modified xsi:type="dcterms:W3CDTF">2024-05-27T16:59:08Z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0x0101008AB26F0E01CCE8458053F1BC760D7DF5</vt:lpwstr>
  </property>
</Properties>
</file>