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AA - Current Projects\"/>
    </mc:Choice>
  </mc:AlternateContent>
  <xr:revisionPtr revIDLastSave="0" documentId="13_ncr:1_{A363A294-38F0-4053-8033-ADF89648188A}" xr6:coauthVersionLast="47" xr6:coauthVersionMax="47" xr10:uidLastSave="{00000000-0000-0000-0000-000000000000}"/>
  <bookViews>
    <workbookView xWindow="3072" yWindow="624" windowWidth="19200" windowHeight="12336" xr2:uid="{1F1A1BA1-E44D-4431-9062-3A7618F13AC8}"/>
  </bookViews>
  <sheets>
    <sheet name="SBS Toolbox v1.0" sheetId="1" r:id="rId1"/>
    <sheet name="Instructions" sheetId="8" r:id="rId2"/>
    <sheet name="HBP (502 AB)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5" l="1"/>
  <c r="M155" i="5"/>
  <c r="L155" i="5"/>
  <c r="K155" i="5"/>
  <c r="J155" i="5"/>
  <c r="I155" i="5"/>
  <c r="H155" i="5"/>
  <c r="G155" i="5"/>
  <c r="F155" i="5"/>
  <c r="E155" i="5"/>
  <c r="D155" i="5"/>
  <c r="A158" i="5"/>
  <c r="L13" i="1"/>
  <c r="N12" i="1" s="1"/>
  <c r="R12" i="1" s="1"/>
  <c r="S13" i="1"/>
  <c r="M13" i="1"/>
  <c r="J6" i="1"/>
  <c r="J8" i="1"/>
  <c r="J11" i="1"/>
  <c r="B17" i="1"/>
  <c r="B18" i="1" s="1"/>
  <c r="B19" i="1" s="1"/>
  <c r="W38" i="1"/>
  <c r="W37" i="1"/>
  <c r="W36" i="1"/>
  <c r="W35" i="1"/>
  <c r="W34" i="1"/>
  <c r="W33" i="1"/>
  <c r="W32" i="1"/>
  <c r="W31" i="1"/>
  <c r="O16" i="1" l="1"/>
  <c r="R13" i="1"/>
  <c r="B20" i="1"/>
  <c r="K37" i="1"/>
  <c r="J37" i="1"/>
  <c r="I37" i="1"/>
  <c r="H37" i="1"/>
  <c r="G37" i="1"/>
  <c r="J7" i="1"/>
  <c r="B12" i="1"/>
  <c r="E9" i="1"/>
  <c r="M156" i="5"/>
  <c r="B156" i="5"/>
  <c r="D156" i="5" s="1"/>
  <c r="M154" i="5"/>
  <c r="L154" i="5"/>
  <c r="K154" i="5"/>
  <c r="J154" i="5"/>
  <c r="I154" i="5"/>
  <c r="H154" i="5"/>
  <c r="G154" i="5"/>
  <c r="F154" i="5"/>
  <c r="E154" i="5"/>
  <c r="D154" i="5"/>
  <c r="M153" i="5"/>
  <c r="L153" i="5"/>
  <c r="K153" i="5"/>
  <c r="J153" i="5"/>
  <c r="I153" i="5"/>
  <c r="H153" i="5"/>
  <c r="G153" i="5"/>
  <c r="F153" i="5"/>
  <c r="E153" i="5"/>
  <c r="D153" i="5"/>
  <c r="M152" i="5"/>
  <c r="L152" i="5"/>
  <c r="K152" i="5"/>
  <c r="J152" i="5"/>
  <c r="I152" i="5"/>
  <c r="H152" i="5"/>
  <c r="G152" i="5"/>
  <c r="F152" i="5"/>
  <c r="E152" i="5"/>
  <c r="D152" i="5"/>
  <c r="M151" i="5"/>
  <c r="L151" i="5"/>
  <c r="K151" i="5"/>
  <c r="J151" i="5"/>
  <c r="I151" i="5"/>
  <c r="H151" i="5"/>
  <c r="G151" i="5"/>
  <c r="F151" i="5"/>
  <c r="E151" i="5"/>
  <c r="D151" i="5"/>
  <c r="M150" i="5"/>
  <c r="L150" i="5"/>
  <c r="K150" i="5"/>
  <c r="J150" i="5"/>
  <c r="I150" i="5"/>
  <c r="H150" i="5"/>
  <c r="G150" i="5"/>
  <c r="F150" i="5"/>
  <c r="E150" i="5"/>
  <c r="D150" i="5"/>
  <c r="M149" i="5"/>
  <c r="L149" i="5"/>
  <c r="K149" i="5"/>
  <c r="J149" i="5"/>
  <c r="I149" i="5"/>
  <c r="H149" i="5"/>
  <c r="G149" i="5"/>
  <c r="F149" i="5"/>
  <c r="E149" i="5"/>
  <c r="D149" i="5"/>
  <c r="M148" i="5"/>
  <c r="L148" i="5"/>
  <c r="K148" i="5"/>
  <c r="J148" i="5"/>
  <c r="I148" i="5"/>
  <c r="H148" i="5"/>
  <c r="G148" i="5"/>
  <c r="F148" i="5"/>
  <c r="E148" i="5"/>
  <c r="D148" i="5"/>
  <c r="M147" i="5"/>
  <c r="L147" i="5"/>
  <c r="K147" i="5"/>
  <c r="J147" i="5"/>
  <c r="I147" i="5"/>
  <c r="H147" i="5"/>
  <c r="G147" i="5"/>
  <c r="F147" i="5"/>
  <c r="E147" i="5"/>
  <c r="D147" i="5"/>
  <c r="M146" i="5"/>
  <c r="L146" i="5"/>
  <c r="K146" i="5"/>
  <c r="J146" i="5"/>
  <c r="I146" i="5"/>
  <c r="H146" i="5"/>
  <c r="G146" i="5"/>
  <c r="F146" i="5"/>
  <c r="E146" i="5"/>
  <c r="D146" i="5"/>
  <c r="M145" i="5"/>
  <c r="L145" i="5"/>
  <c r="K145" i="5"/>
  <c r="J145" i="5"/>
  <c r="I145" i="5"/>
  <c r="H145" i="5"/>
  <c r="G145" i="5"/>
  <c r="F145" i="5"/>
  <c r="E145" i="5"/>
  <c r="D145" i="5"/>
  <c r="M144" i="5"/>
  <c r="L144" i="5"/>
  <c r="K144" i="5"/>
  <c r="J144" i="5"/>
  <c r="I144" i="5"/>
  <c r="H144" i="5"/>
  <c r="G144" i="5"/>
  <c r="F144" i="5"/>
  <c r="E144" i="5"/>
  <c r="D144" i="5"/>
  <c r="M143" i="5"/>
  <c r="L143" i="5"/>
  <c r="K143" i="5"/>
  <c r="J143" i="5"/>
  <c r="I143" i="5"/>
  <c r="H143" i="5"/>
  <c r="G143" i="5"/>
  <c r="F143" i="5"/>
  <c r="E143" i="5"/>
  <c r="D143" i="5"/>
  <c r="M142" i="5"/>
  <c r="L142" i="5"/>
  <c r="K142" i="5"/>
  <c r="J142" i="5"/>
  <c r="I142" i="5"/>
  <c r="H142" i="5"/>
  <c r="G142" i="5"/>
  <c r="F142" i="5"/>
  <c r="E142" i="5"/>
  <c r="D142" i="5"/>
  <c r="M141" i="5"/>
  <c r="L141" i="5"/>
  <c r="K141" i="5"/>
  <c r="J141" i="5"/>
  <c r="I141" i="5"/>
  <c r="H141" i="5"/>
  <c r="G141" i="5"/>
  <c r="F141" i="5"/>
  <c r="E141" i="5"/>
  <c r="D141" i="5"/>
  <c r="M140" i="5"/>
  <c r="L140" i="5"/>
  <c r="K140" i="5"/>
  <c r="J140" i="5"/>
  <c r="I140" i="5"/>
  <c r="H140" i="5"/>
  <c r="G140" i="5"/>
  <c r="F140" i="5"/>
  <c r="E140" i="5"/>
  <c r="D140" i="5"/>
  <c r="M139" i="5"/>
  <c r="L139" i="5"/>
  <c r="K139" i="5"/>
  <c r="J139" i="5"/>
  <c r="I139" i="5"/>
  <c r="H139" i="5"/>
  <c r="G139" i="5"/>
  <c r="F139" i="5"/>
  <c r="E139" i="5"/>
  <c r="D139" i="5"/>
  <c r="M138" i="5"/>
  <c r="L138" i="5"/>
  <c r="K138" i="5"/>
  <c r="J138" i="5"/>
  <c r="I138" i="5"/>
  <c r="H138" i="5"/>
  <c r="G138" i="5"/>
  <c r="F138" i="5"/>
  <c r="E138" i="5"/>
  <c r="D138" i="5"/>
  <c r="M137" i="5"/>
  <c r="L137" i="5"/>
  <c r="K137" i="5"/>
  <c r="J137" i="5"/>
  <c r="I137" i="5"/>
  <c r="H137" i="5"/>
  <c r="G137" i="5"/>
  <c r="F137" i="5"/>
  <c r="E137" i="5"/>
  <c r="D137" i="5"/>
  <c r="M136" i="5"/>
  <c r="L136" i="5"/>
  <c r="K136" i="5"/>
  <c r="J136" i="5"/>
  <c r="I136" i="5"/>
  <c r="H136" i="5"/>
  <c r="G136" i="5"/>
  <c r="F136" i="5"/>
  <c r="E136" i="5"/>
  <c r="D136" i="5"/>
  <c r="M135" i="5"/>
  <c r="L135" i="5"/>
  <c r="K135" i="5"/>
  <c r="J135" i="5"/>
  <c r="I135" i="5"/>
  <c r="H135" i="5"/>
  <c r="G135" i="5"/>
  <c r="F135" i="5"/>
  <c r="E135" i="5"/>
  <c r="D135" i="5"/>
  <c r="M134" i="5"/>
  <c r="L134" i="5"/>
  <c r="K134" i="5"/>
  <c r="J134" i="5"/>
  <c r="I134" i="5"/>
  <c r="H134" i="5"/>
  <c r="G134" i="5"/>
  <c r="F134" i="5"/>
  <c r="E134" i="5"/>
  <c r="D134" i="5"/>
  <c r="M133" i="5"/>
  <c r="L133" i="5"/>
  <c r="K133" i="5"/>
  <c r="J133" i="5"/>
  <c r="I133" i="5"/>
  <c r="H133" i="5"/>
  <c r="G133" i="5"/>
  <c r="F133" i="5"/>
  <c r="E133" i="5"/>
  <c r="D133" i="5"/>
  <c r="M132" i="5"/>
  <c r="L132" i="5"/>
  <c r="K132" i="5"/>
  <c r="J132" i="5"/>
  <c r="I132" i="5"/>
  <c r="H132" i="5"/>
  <c r="G132" i="5"/>
  <c r="F132" i="5"/>
  <c r="E132" i="5"/>
  <c r="D132" i="5"/>
  <c r="M131" i="5"/>
  <c r="L131" i="5"/>
  <c r="K131" i="5"/>
  <c r="J131" i="5"/>
  <c r="I131" i="5"/>
  <c r="H131" i="5"/>
  <c r="G131" i="5"/>
  <c r="F131" i="5"/>
  <c r="E131" i="5"/>
  <c r="D131" i="5"/>
  <c r="M130" i="5"/>
  <c r="L130" i="5"/>
  <c r="K130" i="5"/>
  <c r="J130" i="5"/>
  <c r="I130" i="5"/>
  <c r="H130" i="5"/>
  <c r="G130" i="5"/>
  <c r="F130" i="5"/>
  <c r="E130" i="5"/>
  <c r="D130" i="5"/>
  <c r="M129" i="5"/>
  <c r="L129" i="5"/>
  <c r="K129" i="5"/>
  <c r="J129" i="5"/>
  <c r="I129" i="5"/>
  <c r="H129" i="5"/>
  <c r="G129" i="5"/>
  <c r="F129" i="5"/>
  <c r="E129" i="5"/>
  <c r="D129" i="5"/>
  <c r="M128" i="5"/>
  <c r="L128" i="5"/>
  <c r="K128" i="5"/>
  <c r="J128" i="5"/>
  <c r="I128" i="5"/>
  <c r="H128" i="5"/>
  <c r="G128" i="5"/>
  <c r="F128" i="5"/>
  <c r="E128" i="5"/>
  <c r="D128" i="5"/>
  <c r="M127" i="5"/>
  <c r="L127" i="5"/>
  <c r="K127" i="5"/>
  <c r="J127" i="5"/>
  <c r="I127" i="5"/>
  <c r="H127" i="5"/>
  <c r="G127" i="5"/>
  <c r="F127" i="5"/>
  <c r="E127" i="5"/>
  <c r="D127" i="5"/>
  <c r="M126" i="5"/>
  <c r="L126" i="5"/>
  <c r="K126" i="5"/>
  <c r="J126" i="5"/>
  <c r="I126" i="5"/>
  <c r="H126" i="5"/>
  <c r="G126" i="5"/>
  <c r="F126" i="5"/>
  <c r="E126" i="5"/>
  <c r="D126" i="5"/>
  <c r="M125" i="5"/>
  <c r="L125" i="5"/>
  <c r="K125" i="5"/>
  <c r="J125" i="5"/>
  <c r="I125" i="5"/>
  <c r="H125" i="5"/>
  <c r="G125" i="5"/>
  <c r="F125" i="5"/>
  <c r="E125" i="5"/>
  <c r="D125" i="5"/>
  <c r="M124" i="5"/>
  <c r="L124" i="5"/>
  <c r="K124" i="5"/>
  <c r="J124" i="5"/>
  <c r="I124" i="5"/>
  <c r="H124" i="5"/>
  <c r="G124" i="5"/>
  <c r="F124" i="5"/>
  <c r="E124" i="5"/>
  <c r="D124" i="5"/>
  <c r="M123" i="5"/>
  <c r="L123" i="5"/>
  <c r="K123" i="5"/>
  <c r="J123" i="5"/>
  <c r="I123" i="5"/>
  <c r="H123" i="5"/>
  <c r="G123" i="5"/>
  <c r="F123" i="5"/>
  <c r="E123" i="5"/>
  <c r="D123" i="5"/>
  <c r="M122" i="5"/>
  <c r="L122" i="5"/>
  <c r="K122" i="5"/>
  <c r="J122" i="5"/>
  <c r="I122" i="5"/>
  <c r="H122" i="5"/>
  <c r="G122" i="5"/>
  <c r="F122" i="5"/>
  <c r="E122" i="5"/>
  <c r="D122" i="5"/>
  <c r="M121" i="5"/>
  <c r="L121" i="5"/>
  <c r="K121" i="5"/>
  <c r="J121" i="5"/>
  <c r="I121" i="5"/>
  <c r="H121" i="5"/>
  <c r="G121" i="5"/>
  <c r="F121" i="5"/>
  <c r="E121" i="5"/>
  <c r="D121" i="5"/>
  <c r="M120" i="5"/>
  <c r="L120" i="5"/>
  <c r="K120" i="5"/>
  <c r="J120" i="5"/>
  <c r="I120" i="5"/>
  <c r="H120" i="5"/>
  <c r="G120" i="5"/>
  <c r="F120" i="5"/>
  <c r="E120" i="5"/>
  <c r="D120" i="5"/>
  <c r="M119" i="5"/>
  <c r="L119" i="5"/>
  <c r="K119" i="5"/>
  <c r="J119" i="5"/>
  <c r="I119" i="5"/>
  <c r="H119" i="5"/>
  <c r="G119" i="5"/>
  <c r="F119" i="5"/>
  <c r="E119" i="5"/>
  <c r="D119" i="5"/>
  <c r="M118" i="5"/>
  <c r="L118" i="5"/>
  <c r="K118" i="5"/>
  <c r="J118" i="5"/>
  <c r="I118" i="5"/>
  <c r="H118" i="5"/>
  <c r="G118" i="5"/>
  <c r="F118" i="5"/>
  <c r="E118" i="5"/>
  <c r="D118" i="5"/>
  <c r="M117" i="5"/>
  <c r="L117" i="5"/>
  <c r="K117" i="5"/>
  <c r="J117" i="5"/>
  <c r="I117" i="5"/>
  <c r="H117" i="5"/>
  <c r="G117" i="5"/>
  <c r="F117" i="5"/>
  <c r="E117" i="5"/>
  <c r="D117" i="5"/>
  <c r="M116" i="5"/>
  <c r="L116" i="5"/>
  <c r="K116" i="5"/>
  <c r="J116" i="5"/>
  <c r="I116" i="5"/>
  <c r="H116" i="5"/>
  <c r="G116" i="5"/>
  <c r="F116" i="5"/>
  <c r="E116" i="5"/>
  <c r="D116" i="5"/>
  <c r="M115" i="5"/>
  <c r="L115" i="5"/>
  <c r="K115" i="5"/>
  <c r="J115" i="5"/>
  <c r="I115" i="5"/>
  <c r="H115" i="5"/>
  <c r="G115" i="5"/>
  <c r="F115" i="5"/>
  <c r="E115" i="5"/>
  <c r="D115" i="5"/>
  <c r="M114" i="5"/>
  <c r="L114" i="5"/>
  <c r="K114" i="5"/>
  <c r="J114" i="5"/>
  <c r="I114" i="5"/>
  <c r="H114" i="5"/>
  <c r="G114" i="5"/>
  <c r="F114" i="5"/>
  <c r="E114" i="5"/>
  <c r="D114" i="5"/>
  <c r="M113" i="5"/>
  <c r="L113" i="5"/>
  <c r="K113" i="5"/>
  <c r="J113" i="5"/>
  <c r="I113" i="5"/>
  <c r="H113" i="5"/>
  <c r="G113" i="5"/>
  <c r="F113" i="5"/>
  <c r="E113" i="5"/>
  <c r="D113" i="5"/>
  <c r="M112" i="5"/>
  <c r="L112" i="5"/>
  <c r="K112" i="5"/>
  <c r="J112" i="5"/>
  <c r="I112" i="5"/>
  <c r="H112" i="5"/>
  <c r="G112" i="5"/>
  <c r="F112" i="5"/>
  <c r="E112" i="5"/>
  <c r="D112" i="5"/>
  <c r="M111" i="5"/>
  <c r="L111" i="5"/>
  <c r="K111" i="5"/>
  <c r="J111" i="5"/>
  <c r="I111" i="5"/>
  <c r="H111" i="5"/>
  <c r="G111" i="5"/>
  <c r="F111" i="5"/>
  <c r="E111" i="5"/>
  <c r="D111" i="5"/>
  <c r="M110" i="5"/>
  <c r="L110" i="5"/>
  <c r="K110" i="5"/>
  <c r="J110" i="5"/>
  <c r="I110" i="5"/>
  <c r="H110" i="5"/>
  <c r="G110" i="5"/>
  <c r="F110" i="5"/>
  <c r="E110" i="5"/>
  <c r="D110" i="5"/>
  <c r="M109" i="5"/>
  <c r="L109" i="5"/>
  <c r="K109" i="5"/>
  <c r="J109" i="5"/>
  <c r="I109" i="5"/>
  <c r="H109" i="5"/>
  <c r="G109" i="5"/>
  <c r="F109" i="5"/>
  <c r="E109" i="5"/>
  <c r="D109" i="5"/>
  <c r="M108" i="5"/>
  <c r="L108" i="5"/>
  <c r="K108" i="5"/>
  <c r="J108" i="5"/>
  <c r="I108" i="5"/>
  <c r="H108" i="5"/>
  <c r="G108" i="5"/>
  <c r="F108" i="5"/>
  <c r="E108" i="5"/>
  <c r="D108" i="5"/>
  <c r="M107" i="5"/>
  <c r="L107" i="5"/>
  <c r="K107" i="5"/>
  <c r="J107" i="5"/>
  <c r="I107" i="5"/>
  <c r="H107" i="5"/>
  <c r="G107" i="5"/>
  <c r="F107" i="5"/>
  <c r="E107" i="5"/>
  <c r="D107" i="5"/>
  <c r="M106" i="5"/>
  <c r="L106" i="5"/>
  <c r="K106" i="5"/>
  <c r="J106" i="5"/>
  <c r="I106" i="5"/>
  <c r="H106" i="5"/>
  <c r="G106" i="5"/>
  <c r="F106" i="5"/>
  <c r="E106" i="5"/>
  <c r="D106" i="5"/>
  <c r="M105" i="5"/>
  <c r="L105" i="5"/>
  <c r="K105" i="5"/>
  <c r="J105" i="5"/>
  <c r="I105" i="5"/>
  <c r="H105" i="5"/>
  <c r="G105" i="5"/>
  <c r="F105" i="5"/>
  <c r="E105" i="5"/>
  <c r="D105" i="5"/>
  <c r="M104" i="5"/>
  <c r="L104" i="5"/>
  <c r="K104" i="5"/>
  <c r="J104" i="5"/>
  <c r="I104" i="5"/>
  <c r="H104" i="5"/>
  <c r="G104" i="5"/>
  <c r="F104" i="5"/>
  <c r="E104" i="5"/>
  <c r="D104" i="5"/>
  <c r="M103" i="5"/>
  <c r="L103" i="5"/>
  <c r="K103" i="5"/>
  <c r="J103" i="5"/>
  <c r="I103" i="5"/>
  <c r="H103" i="5"/>
  <c r="G103" i="5"/>
  <c r="F103" i="5"/>
  <c r="E103" i="5"/>
  <c r="D103" i="5"/>
  <c r="M102" i="5"/>
  <c r="L102" i="5"/>
  <c r="K102" i="5"/>
  <c r="J102" i="5"/>
  <c r="I102" i="5"/>
  <c r="H102" i="5"/>
  <c r="G102" i="5"/>
  <c r="F102" i="5"/>
  <c r="E102" i="5"/>
  <c r="D102" i="5"/>
  <c r="M101" i="5"/>
  <c r="L101" i="5"/>
  <c r="K101" i="5"/>
  <c r="J101" i="5"/>
  <c r="I101" i="5"/>
  <c r="H101" i="5"/>
  <c r="G101" i="5"/>
  <c r="F101" i="5"/>
  <c r="E101" i="5"/>
  <c r="D101" i="5"/>
  <c r="M100" i="5"/>
  <c r="L100" i="5"/>
  <c r="K100" i="5"/>
  <c r="J100" i="5"/>
  <c r="I100" i="5"/>
  <c r="H100" i="5"/>
  <c r="G100" i="5"/>
  <c r="F100" i="5"/>
  <c r="E100" i="5"/>
  <c r="D100" i="5"/>
  <c r="M99" i="5"/>
  <c r="L99" i="5"/>
  <c r="K99" i="5"/>
  <c r="J99" i="5"/>
  <c r="I99" i="5"/>
  <c r="H99" i="5"/>
  <c r="G99" i="5"/>
  <c r="F99" i="5"/>
  <c r="E99" i="5"/>
  <c r="D99" i="5"/>
  <c r="M98" i="5"/>
  <c r="L98" i="5"/>
  <c r="K98" i="5"/>
  <c r="J98" i="5"/>
  <c r="I98" i="5"/>
  <c r="H98" i="5"/>
  <c r="G98" i="5"/>
  <c r="F98" i="5"/>
  <c r="E98" i="5"/>
  <c r="D98" i="5"/>
  <c r="M97" i="5"/>
  <c r="L97" i="5"/>
  <c r="K97" i="5"/>
  <c r="J97" i="5"/>
  <c r="I97" i="5"/>
  <c r="H97" i="5"/>
  <c r="G97" i="5"/>
  <c r="F97" i="5"/>
  <c r="E97" i="5"/>
  <c r="D97" i="5"/>
  <c r="M96" i="5"/>
  <c r="L96" i="5"/>
  <c r="K96" i="5"/>
  <c r="J96" i="5"/>
  <c r="I96" i="5"/>
  <c r="H96" i="5"/>
  <c r="G96" i="5"/>
  <c r="F96" i="5"/>
  <c r="E96" i="5"/>
  <c r="D96" i="5"/>
  <c r="M95" i="5"/>
  <c r="L95" i="5"/>
  <c r="K95" i="5"/>
  <c r="J95" i="5"/>
  <c r="I95" i="5"/>
  <c r="H95" i="5"/>
  <c r="G95" i="5"/>
  <c r="F95" i="5"/>
  <c r="E95" i="5"/>
  <c r="D95" i="5"/>
  <c r="M94" i="5"/>
  <c r="L94" i="5"/>
  <c r="K94" i="5"/>
  <c r="J94" i="5"/>
  <c r="I94" i="5"/>
  <c r="H94" i="5"/>
  <c r="G94" i="5"/>
  <c r="F94" i="5"/>
  <c r="E94" i="5"/>
  <c r="D94" i="5"/>
  <c r="M93" i="5"/>
  <c r="L93" i="5"/>
  <c r="K93" i="5"/>
  <c r="J93" i="5"/>
  <c r="I93" i="5"/>
  <c r="H93" i="5"/>
  <c r="G93" i="5"/>
  <c r="F93" i="5"/>
  <c r="E93" i="5"/>
  <c r="D93" i="5"/>
  <c r="M92" i="5"/>
  <c r="L92" i="5"/>
  <c r="K92" i="5"/>
  <c r="J92" i="5"/>
  <c r="I92" i="5"/>
  <c r="H92" i="5"/>
  <c r="G92" i="5"/>
  <c r="F92" i="5"/>
  <c r="E92" i="5"/>
  <c r="D92" i="5"/>
  <c r="M91" i="5"/>
  <c r="L91" i="5"/>
  <c r="K91" i="5"/>
  <c r="J91" i="5"/>
  <c r="I91" i="5"/>
  <c r="H91" i="5"/>
  <c r="G91" i="5"/>
  <c r="F91" i="5"/>
  <c r="E91" i="5"/>
  <c r="D91" i="5"/>
  <c r="M90" i="5"/>
  <c r="L90" i="5"/>
  <c r="K90" i="5"/>
  <c r="J90" i="5"/>
  <c r="I90" i="5"/>
  <c r="H90" i="5"/>
  <c r="G90" i="5"/>
  <c r="F90" i="5"/>
  <c r="E90" i="5"/>
  <c r="D90" i="5"/>
  <c r="M89" i="5"/>
  <c r="L89" i="5"/>
  <c r="K89" i="5"/>
  <c r="J89" i="5"/>
  <c r="I89" i="5"/>
  <c r="H89" i="5"/>
  <c r="G89" i="5"/>
  <c r="F89" i="5"/>
  <c r="E89" i="5"/>
  <c r="D89" i="5"/>
  <c r="M88" i="5"/>
  <c r="L88" i="5"/>
  <c r="K88" i="5"/>
  <c r="J88" i="5"/>
  <c r="I88" i="5"/>
  <c r="H88" i="5"/>
  <c r="G88" i="5"/>
  <c r="F88" i="5"/>
  <c r="E88" i="5"/>
  <c r="D88" i="5"/>
  <c r="M87" i="5"/>
  <c r="L87" i="5"/>
  <c r="K87" i="5"/>
  <c r="J87" i="5"/>
  <c r="I87" i="5"/>
  <c r="H87" i="5"/>
  <c r="G87" i="5"/>
  <c r="F87" i="5"/>
  <c r="E87" i="5"/>
  <c r="D87" i="5"/>
  <c r="M86" i="5"/>
  <c r="L86" i="5"/>
  <c r="K86" i="5"/>
  <c r="J86" i="5"/>
  <c r="I86" i="5"/>
  <c r="H86" i="5"/>
  <c r="G86" i="5"/>
  <c r="F86" i="5"/>
  <c r="E86" i="5"/>
  <c r="D86" i="5"/>
  <c r="M85" i="5"/>
  <c r="L85" i="5"/>
  <c r="K85" i="5"/>
  <c r="J85" i="5"/>
  <c r="I85" i="5"/>
  <c r="H85" i="5"/>
  <c r="G85" i="5"/>
  <c r="F85" i="5"/>
  <c r="E85" i="5"/>
  <c r="D85" i="5"/>
  <c r="M84" i="5"/>
  <c r="L84" i="5"/>
  <c r="K84" i="5"/>
  <c r="J84" i="5"/>
  <c r="I84" i="5"/>
  <c r="H84" i="5"/>
  <c r="G84" i="5"/>
  <c r="F84" i="5"/>
  <c r="E84" i="5"/>
  <c r="D84" i="5"/>
  <c r="M83" i="5"/>
  <c r="L83" i="5"/>
  <c r="K83" i="5"/>
  <c r="J83" i="5"/>
  <c r="I83" i="5"/>
  <c r="H83" i="5"/>
  <c r="G83" i="5"/>
  <c r="F83" i="5"/>
  <c r="E83" i="5"/>
  <c r="D83" i="5"/>
  <c r="M82" i="5"/>
  <c r="L82" i="5"/>
  <c r="K82" i="5"/>
  <c r="J82" i="5"/>
  <c r="I82" i="5"/>
  <c r="H82" i="5"/>
  <c r="G82" i="5"/>
  <c r="F82" i="5"/>
  <c r="E82" i="5"/>
  <c r="D82" i="5"/>
  <c r="M81" i="5"/>
  <c r="L81" i="5"/>
  <c r="K81" i="5"/>
  <c r="J81" i="5"/>
  <c r="I81" i="5"/>
  <c r="H81" i="5"/>
  <c r="G81" i="5"/>
  <c r="F81" i="5"/>
  <c r="E81" i="5"/>
  <c r="D81" i="5"/>
  <c r="M80" i="5"/>
  <c r="L80" i="5"/>
  <c r="K80" i="5"/>
  <c r="J80" i="5"/>
  <c r="I80" i="5"/>
  <c r="H80" i="5"/>
  <c r="G80" i="5"/>
  <c r="F80" i="5"/>
  <c r="E80" i="5"/>
  <c r="D80" i="5"/>
  <c r="M79" i="5"/>
  <c r="L79" i="5"/>
  <c r="K79" i="5"/>
  <c r="J79" i="5"/>
  <c r="I79" i="5"/>
  <c r="H79" i="5"/>
  <c r="G79" i="5"/>
  <c r="F79" i="5"/>
  <c r="E79" i="5"/>
  <c r="D79" i="5"/>
  <c r="M78" i="5"/>
  <c r="L78" i="5"/>
  <c r="K78" i="5"/>
  <c r="J78" i="5"/>
  <c r="I78" i="5"/>
  <c r="H78" i="5"/>
  <c r="G78" i="5"/>
  <c r="F78" i="5"/>
  <c r="E78" i="5"/>
  <c r="D78" i="5"/>
  <c r="M77" i="5"/>
  <c r="L77" i="5"/>
  <c r="K77" i="5"/>
  <c r="J77" i="5"/>
  <c r="I77" i="5"/>
  <c r="H77" i="5"/>
  <c r="G77" i="5"/>
  <c r="F77" i="5"/>
  <c r="E77" i="5"/>
  <c r="D77" i="5"/>
  <c r="M76" i="5"/>
  <c r="L76" i="5"/>
  <c r="K76" i="5"/>
  <c r="J76" i="5"/>
  <c r="I76" i="5"/>
  <c r="H76" i="5"/>
  <c r="G76" i="5"/>
  <c r="F76" i="5"/>
  <c r="E76" i="5"/>
  <c r="D76" i="5"/>
  <c r="M75" i="5"/>
  <c r="L75" i="5"/>
  <c r="K75" i="5"/>
  <c r="J75" i="5"/>
  <c r="I75" i="5"/>
  <c r="H75" i="5"/>
  <c r="G75" i="5"/>
  <c r="F75" i="5"/>
  <c r="E75" i="5"/>
  <c r="D75" i="5"/>
  <c r="M74" i="5"/>
  <c r="L74" i="5"/>
  <c r="K74" i="5"/>
  <c r="J74" i="5"/>
  <c r="I74" i="5"/>
  <c r="H74" i="5"/>
  <c r="G74" i="5"/>
  <c r="F74" i="5"/>
  <c r="E74" i="5"/>
  <c r="D74" i="5"/>
  <c r="M73" i="5"/>
  <c r="L73" i="5"/>
  <c r="K73" i="5"/>
  <c r="J73" i="5"/>
  <c r="I73" i="5"/>
  <c r="H73" i="5"/>
  <c r="G73" i="5"/>
  <c r="F73" i="5"/>
  <c r="E73" i="5"/>
  <c r="D73" i="5"/>
  <c r="M72" i="5"/>
  <c r="L72" i="5"/>
  <c r="K72" i="5"/>
  <c r="J72" i="5"/>
  <c r="I72" i="5"/>
  <c r="H72" i="5"/>
  <c r="G72" i="5"/>
  <c r="F72" i="5"/>
  <c r="E72" i="5"/>
  <c r="D72" i="5"/>
  <c r="M71" i="5"/>
  <c r="L71" i="5"/>
  <c r="K71" i="5"/>
  <c r="J71" i="5"/>
  <c r="I71" i="5"/>
  <c r="H71" i="5"/>
  <c r="G71" i="5"/>
  <c r="F71" i="5"/>
  <c r="E71" i="5"/>
  <c r="D71" i="5"/>
  <c r="M70" i="5"/>
  <c r="L70" i="5"/>
  <c r="K70" i="5"/>
  <c r="J70" i="5"/>
  <c r="I70" i="5"/>
  <c r="H70" i="5"/>
  <c r="G70" i="5"/>
  <c r="F70" i="5"/>
  <c r="E70" i="5"/>
  <c r="D70" i="5"/>
  <c r="M69" i="5"/>
  <c r="L69" i="5"/>
  <c r="K69" i="5"/>
  <c r="J69" i="5"/>
  <c r="I69" i="5"/>
  <c r="H69" i="5"/>
  <c r="G69" i="5"/>
  <c r="F69" i="5"/>
  <c r="E69" i="5"/>
  <c r="D69" i="5"/>
  <c r="M68" i="5"/>
  <c r="L68" i="5"/>
  <c r="K68" i="5"/>
  <c r="J68" i="5"/>
  <c r="I68" i="5"/>
  <c r="H68" i="5"/>
  <c r="G68" i="5"/>
  <c r="F68" i="5"/>
  <c r="E68" i="5"/>
  <c r="D68" i="5"/>
  <c r="M67" i="5"/>
  <c r="L67" i="5"/>
  <c r="K67" i="5"/>
  <c r="J67" i="5"/>
  <c r="I67" i="5"/>
  <c r="H67" i="5"/>
  <c r="G67" i="5"/>
  <c r="F67" i="5"/>
  <c r="E67" i="5"/>
  <c r="D67" i="5"/>
  <c r="M66" i="5"/>
  <c r="L66" i="5"/>
  <c r="K66" i="5"/>
  <c r="J66" i="5"/>
  <c r="I66" i="5"/>
  <c r="H66" i="5"/>
  <c r="G66" i="5"/>
  <c r="F66" i="5"/>
  <c r="E66" i="5"/>
  <c r="D66" i="5"/>
  <c r="M65" i="5"/>
  <c r="L65" i="5"/>
  <c r="K65" i="5"/>
  <c r="J65" i="5"/>
  <c r="I65" i="5"/>
  <c r="H65" i="5"/>
  <c r="G65" i="5"/>
  <c r="F65" i="5"/>
  <c r="E65" i="5"/>
  <c r="D65" i="5"/>
  <c r="M64" i="5"/>
  <c r="L64" i="5"/>
  <c r="K64" i="5"/>
  <c r="J64" i="5"/>
  <c r="I64" i="5"/>
  <c r="H64" i="5"/>
  <c r="G64" i="5"/>
  <c r="F64" i="5"/>
  <c r="E64" i="5"/>
  <c r="D64" i="5"/>
  <c r="M63" i="5"/>
  <c r="L63" i="5"/>
  <c r="K63" i="5"/>
  <c r="J63" i="5"/>
  <c r="I63" i="5"/>
  <c r="H63" i="5"/>
  <c r="G63" i="5"/>
  <c r="F63" i="5"/>
  <c r="E63" i="5"/>
  <c r="D63" i="5"/>
  <c r="M62" i="5"/>
  <c r="L62" i="5"/>
  <c r="K62" i="5"/>
  <c r="J62" i="5"/>
  <c r="I62" i="5"/>
  <c r="H62" i="5"/>
  <c r="G62" i="5"/>
  <c r="F62" i="5"/>
  <c r="E62" i="5"/>
  <c r="D62" i="5"/>
  <c r="M61" i="5"/>
  <c r="L61" i="5"/>
  <c r="K61" i="5"/>
  <c r="J61" i="5"/>
  <c r="I61" i="5"/>
  <c r="H61" i="5"/>
  <c r="G61" i="5"/>
  <c r="F61" i="5"/>
  <c r="E61" i="5"/>
  <c r="D61" i="5"/>
  <c r="M60" i="5"/>
  <c r="L60" i="5"/>
  <c r="K60" i="5"/>
  <c r="J60" i="5"/>
  <c r="I60" i="5"/>
  <c r="H60" i="5"/>
  <c r="G60" i="5"/>
  <c r="F60" i="5"/>
  <c r="E60" i="5"/>
  <c r="D60" i="5"/>
  <c r="M59" i="5"/>
  <c r="L59" i="5"/>
  <c r="K59" i="5"/>
  <c r="J59" i="5"/>
  <c r="I59" i="5"/>
  <c r="H59" i="5"/>
  <c r="G59" i="5"/>
  <c r="F59" i="5"/>
  <c r="E59" i="5"/>
  <c r="D59" i="5"/>
  <c r="M58" i="5"/>
  <c r="L58" i="5"/>
  <c r="K58" i="5"/>
  <c r="J58" i="5"/>
  <c r="I58" i="5"/>
  <c r="H58" i="5"/>
  <c r="G58" i="5"/>
  <c r="F58" i="5"/>
  <c r="E58" i="5"/>
  <c r="D58" i="5"/>
  <c r="M57" i="5"/>
  <c r="L57" i="5"/>
  <c r="K57" i="5"/>
  <c r="J57" i="5"/>
  <c r="I57" i="5"/>
  <c r="H57" i="5"/>
  <c r="G57" i="5"/>
  <c r="F57" i="5"/>
  <c r="E57" i="5"/>
  <c r="D57" i="5"/>
  <c r="M56" i="5"/>
  <c r="L56" i="5"/>
  <c r="K56" i="5"/>
  <c r="J56" i="5"/>
  <c r="I56" i="5"/>
  <c r="H56" i="5"/>
  <c r="G56" i="5"/>
  <c r="F56" i="5"/>
  <c r="E56" i="5"/>
  <c r="D56" i="5"/>
  <c r="M55" i="5"/>
  <c r="L55" i="5"/>
  <c r="K55" i="5"/>
  <c r="J55" i="5"/>
  <c r="I55" i="5"/>
  <c r="H55" i="5"/>
  <c r="G55" i="5"/>
  <c r="F55" i="5"/>
  <c r="E55" i="5"/>
  <c r="D55" i="5"/>
  <c r="M54" i="5"/>
  <c r="L54" i="5"/>
  <c r="K54" i="5"/>
  <c r="J54" i="5"/>
  <c r="I54" i="5"/>
  <c r="H54" i="5"/>
  <c r="G54" i="5"/>
  <c r="F54" i="5"/>
  <c r="E54" i="5"/>
  <c r="D54" i="5"/>
  <c r="M53" i="5"/>
  <c r="L53" i="5"/>
  <c r="K53" i="5"/>
  <c r="J53" i="5"/>
  <c r="I53" i="5"/>
  <c r="H53" i="5"/>
  <c r="G53" i="5"/>
  <c r="F53" i="5"/>
  <c r="E53" i="5"/>
  <c r="D53" i="5"/>
  <c r="M52" i="5"/>
  <c r="L52" i="5"/>
  <c r="K52" i="5"/>
  <c r="J52" i="5"/>
  <c r="I52" i="5"/>
  <c r="H52" i="5"/>
  <c r="G52" i="5"/>
  <c r="F52" i="5"/>
  <c r="E52" i="5"/>
  <c r="D52" i="5"/>
  <c r="M51" i="5"/>
  <c r="L51" i="5"/>
  <c r="K51" i="5"/>
  <c r="J51" i="5"/>
  <c r="I51" i="5"/>
  <c r="H51" i="5"/>
  <c r="G51" i="5"/>
  <c r="F51" i="5"/>
  <c r="E51" i="5"/>
  <c r="D51" i="5"/>
  <c r="M50" i="5"/>
  <c r="L50" i="5"/>
  <c r="K50" i="5"/>
  <c r="J50" i="5"/>
  <c r="I50" i="5"/>
  <c r="H50" i="5"/>
  <c r="G50" i="5"/>
  <c r="F50" i="5"/>
  <c r="E50" i="5"/>
  <c r="D50" i="5"/>
  <c r="M49" i="5"/>
  <c r="L49" i="5"/>
  <c r="K49" i="5"/>
  <c r="J49" i="5"/>
  <c r="I49" i="5"/>
  <c r="H49" i="5"/>
  <c r="G49" i="5"/>
  <c r="F49" i="5"/>
  <c r="E49" i="5"/>
  <c r="D49" i="5"/>
  <c r="M48" i="5"/>
  <c r="L48" i="5"/>
  <c r="K48" i="5"/>
  <c r="J48" i="5"/>
  <c r="I48" i="5"/>
  <c r="H48" i="5"/>
  <c r="G48" i="5"/>
  <c r="F48" i="5"/>
  <c r="E48" i="5"/>
  <c r="D48" i="5"/>
  <c r="M47" i="5"/>
  <c r="L47" i="5"/>
  <c r="K47" i="5"/>
  <c r="J47" i="5"/>
  <c r="I47" i="5"/>
  <c r="H47" i="5"/>
  <c r="G47" i="5"/>
  <c r="F47" i="5"/>
  <c r="E47" i="5"/>
  <c r="D47" i="5"/>
  <c r="M46" i="5"/>
  <c r="L46" i="5"/>
  <c r="K46" i="5"/>
  <c r="J46" i="5"/>
  <c r="I46" i="5"/>
  <c r="H46" i="5"/>
  <c r="G46" i="5"/>
  <c r="F46" i="5"/>
  <c r="E46" i="5"/>
  <c r="D46" i="5"/>
  <c r="M45" i="5"/>
  <c r="L45" i="5"/>
  <c r="K45" i="5"/>
  <c r="J45" i="5"/>
  <c r="I45" i="5"/>
  <c r="H45" i="5"/>
  <c r="G45" i="5"/>
  <c r="F45" i="5"/>
  <c r="E45" i="5"/>
  <c r="D45" i="5"/>
  <c r="M44" i="5"/>
  <c r="L44" i="5"/>
  <c r="K44" i="5"/>
  <c r="J44" i="5"/>
  <c r="I44" i="5"/>
  <c r="H44" i="5"/>
  <c r="G44" i="5"/>
  <c r="F44" i="5"/>
  <c r="E44" i="5"/>
  <c r="D44" i="5"/>
  <c r="M43" i="5"/>
  <c r="L43" i="5"/>
  <c r="K43" i="5"/>
  <c r="J43" i="5"/>
  <c r="I43" i="5"/>
  <c r="H43" i="5"/>
  <c r="G43" i="5"/>
  <c r="F43" i="5"/>
  <c r="E43" i="5"/>
  <c r="D43" i="5"/>
  <c r="M42" i="5"/>
  <c r="L42" i="5"/>
  <c r="K42" i="5"/>
  <c r="J42" i="5"/>
  <c r="I42" i="5"/>
  <c r="H42" i="5"/>
  <c r="G42" i="5"/>
  <c r="F42" i="5"/>
  <c r="E42" i="5"/>
  <c r="D42" i="5"/>
  <c r="M41" i="5"/>
  <c r="L41" i="5"/>
  <c r="K41" i="5"/>
  <c r="J41" i="5"/>
  <c r="I41" i="5"/>
  <c r="H41" i="5"/>
  <c r="G41" i="5"/>
  <c r="F41" i="5"/>
  <c r="E41" i="5"/>
  <c r="D41" i="5"/>
  <c r="M40" i="5"/>
  <c r="L40" i="5"/>
  <c r="K40" i="5"/>
  <c r="J40" i="5"/>
  <c r="I40" i="5"/>
  <c r="H40" i="5"/>
  <c r="G40" i="5"/>
  <c r="F40" i="5"/>
  <c r="E40" i="5"/>
  <c r="D40" i="5"/>
  <c r="M39" i="5"/>
  <c r="L39" i="5"/>
  <c r="K39" i="5"/>
  <c r="J39" i="5"/>
  <c r="I39" i="5"/>
  <c r="H39" i="5"/>
  <c r="G39" i="5"/>
  <c r="F39" i="5"/>
  <c r="E39" i="5"/>
  <c r="D39" i="5"/>
  <c r="M38" i="5"/>
  <c r="L38" i="5"/>
  <c r="K38" i="5"/>
  <c r="J38" i="5"/>
  <c r="I38" i="5"/>
  <c r="H38" i="5"/>
  <c r="G38" i="5"/>
  <c r="F38" i="5"/>
  <c r="E38" i="5"/>
  <c r="D38" i="5"/>
  <c r="M37" i="5"/>
  <c r="L37" i="5"/>
  <c r="K37" i="5"/>
  <c r="J37" i="5"/>
  <c r="I37" i="5"/>
  <c r="H37" i="5"/>
  <c r="G37" i="5"/>
  <c r="F37" i="5"/>
  <c r="E37" i="5"/>
  <c r="D37" i="5"/>
  <c r="M36" i="5"/>
  <c r="L36" i="5"/>
  <c r="K36" i="5"/>
  <c r="J36" i="5"/>
  <c r="I36" i="5"/>
  <c r="H36" i="5"/>
  <c r="G36" i="5"/>
  <c r="F36" i="5"/>
  <c r="E36" i="5"/>
  <c r="D36" i="5"/>
  <c r="M35" i="5"/>
  <c r="L35" i="5"/>
  <c r="K35" i="5"/>
  <c r="J35" i="5"/>
  <c r="I35" i="5"/>
  <c r="H35" i="5"/>
  <c r="G35" i="5"/>
  <c r="F35" i="5"/>
  <c r="E35" i="5"/>
  <c r="D35" i="5"/>
  <c r="M34" i="5"/>
  <c r="L34" i="5"/>
  <c r="K34" i="5"/>
  <c r="J34" i="5"/>
  <c r="I34" i="5"/>
  <c r="H34" i="5"/>
  <c r="G34" i="5"/>
  <c r="F34" i="5"/>
  <c r="E34" i="5"/>
  <c r="D34" i="5"/>
  <c r="M33" i="5"/>
  <c r="L33" i="5"/>
  <c r="K33" i="5"/>
  <c r="J33" i="5"/>
  <c r="I33" i="5"/>
  <c r="H33" i="5"/>
  <c r="G33" i="5"/>
  <c r="F33" i="5"/>
  <c r="E33" i="5"/>
  <c r="D33" i="5"/>
  <c r="M32" i="5"/>
  <c r="L32" i="5"/>
  <c r="K32" i="5"/>
  <c r="J32" i="5"/>
  <c r="I32" i="5"/>
  <c r="H32" i="5"/>
  <c r="G32" i="5"/>
  <c r="F32" i="5"/>
  <c r="E32" i="5"/>
  <c r="D32" i="5"/>
  <c r="M31" i="5"/>
  <c r="L31" i="5"/>
  <c r="K31" i="5"/>
  <c r="J31" i="5"/>
  <c r="I31" i="5"/>
  <c r="H31" i="5"/>
  <c r="G31" i="5"/>
  <c r="F31" i="5"/>
  <c r="E31" i="5"/>
  <c r="D31" i="5"/>
  <c r="M30" i="5"/>
  <c r="L30" i="5"/>
  <c r="K30" i="5"/>
  <c r="J30" i="5"/>
  <c r="I30" i="5"/>
  <c r="H30" i="5"/>
  <c r="G30" i="5"/>
  <c r="F30" i="5"/>
  <c r="E30" i="5"/>
  <c r="D30" i="5"/>
  <c r="M29" i="5"/>
  <c r="L29" i="5"/>
  <c r="K29" i="5"/>
  <c r="J29" i="5"/>
  <c r="I29" i="5"/>
  <c r="H29" i="5"/>
  <c r="G29" i="5"/>
  <c r="F29" i="5"/>
  <c r="E29" i="5"/>
  <c r="D29" i="5"/>
  <c r="M28" i="5"/>
  <c r="L28" i="5"/>
  <c r="K28" i="5"/>
  <c r="J28" i="5"/>
  <c r="I28" i="5"/>
  <c r="H28" i="5"/>
  <c r="G28" i="5"/>
  <c r="F28" i="5"/>
  <c r="E28" i="5"/>
  <c r="D28" i="5"/>
  <c r="M27" i="5"/>
  <c r="L27" i="5"/>
  <c r="K27" i="5"/>
  <c r="J27" i="5"/>
  <c r="I27" i="5"/>
  <c r="H27" i="5"/>
  <c r="G27" i="5"/>
  <c r="F27" i="5"/>
  <c r="E27" i="5"/>
  <c r="D27" i="5"/>
  <c r="M26" i="5"/>
  <c r="L26" i="5"/>
  <c r="K26" i="5"/>
  <c r="J26" i="5"/>
  <c r="I26" i="5"/>
  <c r="H26" i="5"/>
  <c r="G26" i="5"/>
  <c r="F26" i="5"/>
  <c r="E26" i="5"/>
  <c r="D26" i="5"/>
  <c r="M25" i="5"/>
  <c r="L25" i="5"/>
  <c r="K25" i="5"/>
  <c r="J25" i="5"/>
  <c r="I25" i="5"/>
  <c r="H25" i="5"/>
  <c r="G25" i="5"/>
  <c r="F25" i="5"/>
  <c r="E25" i="5"/>
  <c r="D25" i="5"/>
  <c r="M24" i="5"/>
  <c r="L24" i="5"/>
  <c r="K24" i="5"/>
  <c r="J24" i="5"/>
  <c r="I24" i="5"/>
  <c r="H24" i="5"/>
  <c r="G24" i="5"/>
  <c r="F24" i="5"/>
  <c r="E24" i="5"/>
  <c r="D24" i="5"/>
  <c r="M23" i="5"/>
  <c r="L23" i="5"/>
  <c r="K23" i="5"/>
  <c r="J23" i="5"/>
  <c r="I23" i="5"/>
  <c r="H23" i="5"/>
  <c r="G23" i="5"/>
  <c r="F23" i="5"/>
  <c r="E23" i="5"/>
  <c r="D23" i="5"/>
  <c r="M22" i="5"/>
  <c r="L22" i="5"/>
  <c r="K22" i="5"/>
  <c r="J22" i="5"/>
  <c r="I22" i="5"/>
  <c r="H22" i="5"/>
  <c r="G22" i="5"/>
  <c r="F22" i="5"/>
  <c r="E22" i="5"/>
  <c r="D22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K156" i="5" s="1"/>
  <c r="J16" i="5"/>
  <c r="J156" i="5" s="1"/>
  <c r="I16" i="5"/>
  <c r="H16" i="5"/>
  <c r="G16" i="5"/>
  <c r="G156" i="5" s="1"/>
  <c r="F16" i="5"/>
  <c r="F156" i="5" s="1"/>
  <c r="E16" i="5"/>
  <c r="D16" i="5"/>
  <c r="B13" i="1" l="1"/>
  <c r="O15" i="1"/>
  <c r="O14" i="1"/>
  <c r="N13" i="1"/>
  <c r="N16" i="1" s="1"/>
  <c r="H156" i="5"/>
  <c r="L156" i="5"/>
  <c r="E156" i="5"/>
  <c r="I156" i="5"/>
  <c r="C32" i="1"/>
  <c r="B32" i="1"/>
  <c r="Q15" i="1" l="1"/>
  <c r="Q13" i="1" s="1"/>
  <c r="Q14" i="1"/>
  <c r="O13" i="1"/>
  <c r="S15" i="1" s="1"/>
  <c r="R15" i="1" s="1"/>
  <c r="R16" i="1" l="1"/>
  <c r="S14" i="1"/>
  <c r="R14" i="1" s="1"/>
  <c r="M14" i="1"/>
  <c r="N14" i="1" s="1"/>
  <c r="M15" i="1" l="1"/>
  <c r="Q16" i="1" s="1"/>
  <c r="N9" i="1"/>
  <c r="O9" i="1" s="1"/>
  <c r="N8" i="1"/>
  <c r="O8" i="1" s="1"/>
  <c r="N15" i="1" l="1"/>
  <c r="X26" i="1"/>
  <c r="X18" i="1" l="1"/>
  <c r="X22" i="1"/>
  <c r="X13" i="1"/>
  <c r="I27" i="1" l="1"/>
  <c r="I26" i="1"/>
  <c r="I25" i="1"/>
  <c r="I24" i="1"/>
  <c r="I22" i="1"/>
  <c r="G23" i="1"/>
  <c r="I23" i="1" s="1"/>
  <c r="I21" i="1" s="1"/>
  <c r="K27" i="1" l="1"/>
  <c r="K26" i="1"/>
  <c r="K25" i="1"/>
  <c r="K24" i="1"/>
  <c r="K23" i="1"/>
  <c r="K22" i="1"/>
  <c r="J27" i="1"/>
  <c r="J26" i="1"/>
  <c r="J25" i="1"/>
  <c r="J24" i="1"/>
  <c r="J23" i="1"/>
  <c r="J22" i="1"/>
  <c r="H27" i="1"/>
  <c r="H25" i="1"/>
  <c r="H24" i="1"/>
  <c r="H26" i="1"/>
  <c r="H23" i="1"/>
  <c r="K28" i="1"/>
  <c r="K20" i="1"/>
  <c r="H22" i="1"/>
  <c r="H21" i="1" l="1"/>
  <c r="K21" i="1"/>
  <c r="J21" i="1" l="1"/>
  <c r="J9" i="1" l="1"/>
  <c r="B6" i="1" l="1"/>
  <c r="X7" i="1"/>
  <c r="X8" i="1" s="1"/>
  <c r="J10" i="1" l="1"/>
  <c r="J12" i="1" s="1"/>
  <c r="J13" i="1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6" authorId="0" shapeId="0" xr:uid="{C0645ACA-994B-4A3E-97A6-C431FF3C57C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Rounds to nearest minute 3:17:30=3:18
3:17:29=3:17
</t>
        </r>
      </text>
    </comment>
    <comment ref="E8" authorId="0" shapeId="0" xr:uid="{1F5E7AB7-D76C-4B46-8208-A4881C028F8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Regular Season Games
</t>
        </r>
      </text>
    </comment>
    <comment ref="E9" authorId="0" shapeId="0" xr:uid="{8BCCB7C9-E3A8-44BD-AE21-EA01C5C3434D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Play-Offs, World Series, All-Star Game,
 etc.
</t>
        </r>
      </text>
    </comment>
    <comment ref="J12" authorId="0" shapeId="0" xr:uid="{436E244D-1F3E-46D1-9F07-D0777A08C7A6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Total Pitch Count
</t>
        </r>
      </text>
    </comment>
    <comment ref="L13" authorId="0" shapeId="0" xr:uid="{24E28A1B-4560-4A94-B627-44D7BBB1B69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M13" authorId="0" shapeId="0" xr:uid="{D6C99824-B9D0-44CC-B4BE-C546986CB98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S13" authorId="0" shapeId="0" xr:uid="{ED382F65-92C6-4468-84C4-1AB546EBD537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B17" authorId="0" shapeId="0" xr:uid="{15F63F18-D91C-420A-9FC9-DA2920576664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</commentList>
</comments>
</file>

<file path=xl/sharedStrings.xml><?xml version="1.0" encoding="utf-8"?>
<sst xmlns="http://schemas.openxmlformats.org/spreadsheetml/2006/main" count="367" uniqueCount="173">
  <si>
    <t>IP --------&gt;</t>
  </si>
  <si>
    <t>Avg.Per Game</t>
  </si>
  <si>
    <t>Attendance</t>
  </si>
  <si>
    <t>Special Event</t>
  </si>
  <si>
    <t>greenlee field 7500</t>
  </si>
  <si>
    <t>yankee stadium 54251</t>
  </si>
  <si>
    <t>fenway park 37500</t>
  </si>
  <si>
    <t>rogers centre 49282</t>
  </si>
  <si>
    <t>west side park 16000</t>
  </si>
  <si>
    <t>sportsman park 34023</t>
  </si>
  <si>
    <t>polo grounds 34000</t>
  </si>
  <si>
    <t>Capacity -----&gt;</t>
  </si>
  <si>
    <t>BB --------&gt;</t>
  </si>
  <si>
    <t>KO -------&gt;</t>
  </si>
  <si>
    <t>Seconds</t>
  </si>
  <si>
    <t>Att.</t>
  </si>
  <si>
    <t>Err -------&gt;</t>
  </si>
  <si>
    <t>Time Factor</t>
  </si>
  <si>
    <t>CS -------&gt;</t>
  </si>
  <si>
    <t>After n Outs</t>
  </si>
  <si>
    <t>(Canceled=Immediately)</t>
  </si>
  <si>
    <t>Manual Input</t>
  </si>
  <si>
    <t>Calculated Value</t>
  </si>
  <si>
    <t>E.R.A.</t>
  </si>
  <si>
    <t>IP</t>
  </si>
  <si>
    <t>ER</t>
  </si>
  <si>
    <t>Hit</t>
  </si>
  <si>
    <t>KO</t>
  </si>
  <si>
    <t>BB</t>
  </si>
  <si>
    <t>HR</t>
  </si>
  <si>
    <t>Rotation-&gt;</t>
  </si>
  <si>
    <t>0 G. Rest</t>
  </si>
  <si>
    <t>1 G Rest</t>
  </si>
  <si>
    <t>2 G Rest</t>
  </si>
  <si>
    <t>G+1</t>
  </si>
  <si>
    <t>G+2</t>
  </si>
  <si>
    <t>G+3</t>
  </si>
  <si>
    <t>Relief Pitcher = 2 games rest</t>
  </si>
  <si>
    <t>Closer = 1 game rest</t>
  </si>
  <si>
    <t>Starting Pitcher = 4/5 games rest</t>
  </si>
  <si>
    <t>63 Koufax</t>
  </si>
  <si>
    <t>AB</t>
  </si>
  <si>
    <t>KO ------&gt;</t>
  </si>
  <si>
    <t>Avg. ----&gt;</t>
  </si>
  <si>
    <t>ER ------&gt;</t>
  </si>
  <si>
    <t>TC</t>
  </si>
  <si>
    <t>E</t>
  </si>
  <si>
    <t>Fld% ----&gt;</t>
  </si>
  <si>
    <t>SB</t>
  </si>
  <si>
    <t>BA</t>
  </si>
  <si>
    <t>Year</t>
  </si>
  <si>
    <t>Team A (HOME)</t>
  </si>
  <si>
    <t>Team B (AWAY)</t>
  </si>
  <si>
    <t>Probability</t>
  </si>
  <si>
    <t>W-L Pct.</t>
  </si>
  <si>
    <t>(Series)</t>
  </si>
  <si>
    <t>(Next Gm)</t>
  </si>
  <si>
    <t>HOME</t>
  </si>
  <si>
    <t>Teams</t>
  </si>
  <si>
    <t>Starting pitchers: 29.5%</t>
  </si>
  <si>
    <t>Relief pitchers: 24.2%</t>
  </si>
  <si>
    <t>Outfielders: 16.8%</t>
  </si>
  <si>
    <t>Infielders: 14.9%</t>
  </si>
  <si>
    <t>Catchers: 7.6%</t>
  </si>
  <si>
    <t>Designated hitters: 1.1%</t>
  </si>
  <si>
    <t>Unknown position: 5.9%</t>
  </si>
  <si>
    <t>&lt;=305</t>
  </si>
  <si>
    <t>&lt;=557</t>
  </si>
  <si>
    <t>&lt;=735</t>
  </si>
  <si>
    <t>&lt;=894</t>
  </si>
  <si>
    <t>&lt;=980</t>
  </si>
  <si>
    <t>&lt;=1000</t>
  </si>
  <si>
    <t>Inning</t>
  </si>
  <si>
    <t>Outs</t>
  </si>
  <si>
    <t>When</t>
  </si>
  <si>
    <t>R</t>
  </si>
  <si>
    <t>Dou</t>
  </si>
  <si>
    <t>Tri</t>
  </si>
  <si>
    <t>SU</t>
  </si>
  <si>
    <t>&gt;=51</t>
  </si>
  <si>
    <t>AA</t>
  </si>
  <si>
    <t>AV</t>
  </si>
  <si>
    <t>SL</t>
  </si>
  <si>
    <t>30-50</t>
  </si>
  <si>
    <t>11-29</t>
  </si>
  <si>
    <t>3-10</t>
  </si>
  <si>
    <t>&lt;=2</t>
  </si>
  <si>
    <t>RR</t>
  </si>
  <si>
    <t>&gt;=180</t>
  </si>
  <si>
    <t>131-179</t>
  </si>
  <si>
    <t>84-130</t>
  </si>
  <si>
    <t>64-83</t>
  </si>
  <si>
    <t>&lt;=63</t>
  </si>
  <si>
    <t>SB-RR Tot.</t>
  </si>
  <si>
    <t>Per AB</t>
  </si>
  <si>
    <t>Pct per AB</t>
  </si>
  <si>
    <t>Per 502 AB</t>
  </si>
  <si>
    <t>"A" 5x</t>
  </si>
  <si>
    <t>"B" 4x</t>
  </si>
  <si>
    <t>"C" 3x</t>
  </si>
  <si>
    <t>"D" 2x</t>
  </si>
  <si>
    <t>"E" Avg.</t>
  </si>
  <si>
    <t>"F" 1/2 avg.</t>
  </si>
  <si>
    <t>"G" 1/3 avg.</t>
  </si>
  <si>
    <t>"H" 1/4 avg.</t>
  </si>
  <si>
    <t>"I" 1/5 avg.</t>
  </si>
  <si>
    <t>Hit by Pitch per 502 AtBats (by Year)</t>
  </si>
  <si>
    <t>N/A</t>
  </si>
  <si>
    <t>LIFETIME</t>
  </si>
  <si>
    <t>502 AB%</t>
  </si>
  <si>
    <t>Pitchers --&gt;</t>
  </si>
  <si>
    <t>Errors ----&gt;</t>
  </si>
  <si>
    <t>Runs ------&gt;</t>
  </si>
  <si>
    <t>Hits -------&gt;</t>
  </si>
  <si>
    <t>IP ---------&gt;</t>
  </si>
  <si>
    <r>
      <t xml:space="preserve">BOTH TEAMS </t>
    </r>
    <r>
      <rPr>
        <b/>
        <sz val="11"/>
        <color theme="1"/>
        <rFont val="Courier New"/>
        <family val="3"/>
      </rPr>
      <t>▼</t>
    </r>
  </si>
  <si>
    <r>
      <t xml:space="preserve">STADIUM </t>
    </r>
    <r>
      <rPr>
        <b/>
        <sz val="11"/>
        <color theme="1"/>
        <rFont val="Courier New"/>
        <family val="3"/>
      </rPr>
      <t>▼</t>
    </r>
  </si>
  <si>
    <t>Play Game ----&gt;</t>
  </si>
  <si>
    <t>This Gm -&gt;</t>
  </si>
  <si>
    <r>
      <t xml:space="preserve">Pitches </t>
    </r>
    <r>
      <rPr>
        <b/>
        <sz val="11"/>
        <color theme="1"/>
        <rFont val="Courier New"/>
        <family val="3"/>
      </rPr>
      <t>▼</t>
    </r>
  </si>
  <si>
    <t>Pitcher's Pitch Count -&gt;</t>
  </si>
  <si>
    <t>Use this # if visible ----&gt;</t>
  </si>
  <si>
    <t>Lg. Pct KO</t>
  </si>
  <si>
    <t>Games Inj.</t>
  </si>
  <si>
    <t>Attendance:</t>
  </si>
  <si>
    <t>Game Time:</t>
  </si>
  <si>
    <t>Pitch Count:</t>
  </si>
  <si>
    <t>Percentage of injuries:</t>
  </si>
  <si>
    <t>Runs -----&gt;</t>
  </si>
  <si>
    <t>Hits ------&gt;</t>
  </si>
  <si>
    <r>
      <t xml:space="preserve">Your Pitcher </t>
    </r>
    <r>
      <rPr>
        <b/>
        <sz val="11"/>
        <color theme="1"/>
        <rFont val="Courier New"/>
        <family val="3"/>
      </rPr>
      <t>▼</t>
    </r>
  </si>
  <si>
    <t>Type of runner --------&gt;</t>
  </si>
  <si>
    <t>Pct. of Chances</t>
  </si>
  <si>
    <t>Action ---&gt;</t>
  </si>
  <si>
    <t>Steal</t>
  </si>
  <si>
    <t>No Attempt</t>
  </si>
  <si>
    <t>Name</t>
  </si>
  <si>
    <t>Score</t>
  </si>
  <si>
    <t>H</t>
  </si>
  <si>
    <t>D</t>
  </si>
  <si>
    <t>T</t>
  </si>
  <si>
    <t>RBI</t>
  </si>
  <si>
    <t>SO</t>
  </si>
  <si>
    <t>CS</t>
  </si>
  <si>
    <t>Err</t>
  </si>
  <si>
    <t>DiMaggio</t>
  </si>
  <si>
    <t>Gordon</t>
  </si>
  <si>
    <t>Dickey</t>
  </si>
  <si>
    <t>Crosetti</t>
  </si>
  <si>
    <t>Rolfe</t>
  </si>
  <si>
    <t>Keller</t>
  </si>
  <si>
    <t>Dalghren</t>
  </si>
  <si>
    <t>Selkirk</t>
  </si>
  <si>
    <t>Rain-Out No.</t>
  </si>
  <si>
    <t>Hit &amp; Run</t>
  </si>
  <si>
    <t>AWAY</t>
  </si>
  <si>
    <r>
      <t xml:space="preserve">Unknown CS: </t>
    </r>
    <r>
      <rPr>
        <b/>
        <sz val="11"/>
        <color theme="1"/>
        <rFont val="Courier New"/>
        <family val="3"/>
      </rPr>
      <t>▼</t>
    </r>
  </si>
  <si>
    <r>
      <t xml:space="preserve">Unknown KO: </t>
    </r>
    <r>
      <rPr>
        <b/>
        <sz val="11"/>
        <color theme="1"/>
        <rFont val="Courier New"/>
        <family val="3"/>
      </rPr>
      <t>▼</t>
    </r>
  </si>
  <si>
    <r>
      <t xml:space="preserve">Game/Series MVP Calculator: </t>
    </r>
    <r>
      <rPr>
        <b/>
        <sz val="11"/>
        <color theme="1"/>
        <rFont val="Courier New"/>
        <family val="3"/>
      </rPr>
      <t>▼</t>
    </r>
  </si>
  <si>
    <r>
      <t xml:space="preserve">Pitching Un-Rested: </t>
    </r>
    <r>
      <rPr>
        <b/>
        <sz val="11"/>
        <color theme="1"/>
        <rFont val="Courier New"/>
        <family val="3"/>
      </rPr>
      <t>▼</t>
    </r>
  </si>
  <si>
    <r>
      <t xml:space="preserve">Team odds of winning series/next game: </t>
    </r>
    <r>
      <rPr>
        <b/>
        <sz val="11"/>
        <color theme="1"/>
        <rFont val="Courier New"/>
        <family val="3"/>
      </rPr>
      <t>▼</t>
    </r>
  </si>
  <si>
    <r>
      <t xml:space="preserve">INJURIES: </t>
    </r>
    <r>
      <rPr>
        <b/>
        <sz val="11"/>
        <color theme="1"/>
        <rFont val="Courier New"/>
        <family val="3"/>
      </rPr>
      <t>►</t>
    </r>
  </si>
  <si>
    <r>
      <t xml:space="preserve">Stolen Base/Running Rating: </t>
    </r>
    <r>
      <rPr>
        <b/>
        <sz val="11"/>
        <color theme="1"/>
        <rFont val="Courier New"/>
        <family val="3"/>
      </rPr>
      <t>▼</t>
    </r>
  </si>
  <si>
    <r>
      <t xml:space="preserve">Solve for Unknowns: </t>
    </r>
    <r>
      <rPr>
        <b/>
        <sz val="11"/>
        <color theme="1"/>
        <rFont val="Courier New"/>
        <family val="3"/>
      </rPr>
      <t>▼</t>
    </r>
  </si>
  <si>
    <r>
      <t xml:space="preserve">Rain-Outs/Cancellations: </t>
    </r>
    <r>
      <rPr>
        <b/>
        <sz val="11"/>
        <color theme="1"/>
        <rFont val="Courier New"/>
        <family val="3"/>
      </rPr>
      <t>▼</t>
    </r>
  </si>
  <si>
    <t>No F9 Key Required</t>
  </si>
  <si>
    <t>Choose the number of times to press F9 key for random numbers (recommend 2-7)</t>
  </si>
  <si>
    <t>Extra Time ---&gt;</t>
  </si>
  <si>
    <t>#1</t>
  </si>
  <si>
    <t>#2</t>
  </si>
  <si>
    <t>&lt;- This Gm</t>
  </si>
  <si>
    <r>
      <t xml:space="preserve">Common Park Capacities: </t>
    </r>
    <r>
      <rPr>
        <b/>
        <sz val="11"/>
        <color theme="1"/>
        <rFont val="Courier New"/>
        <family val="3"/>
      </rPr>
      <t>▼</t>
    </r>
  </si>
  <si>
    <r>
      <t xml:space="preserve">In the inning, the Lead-off batter gets on 1st: </t>
    </r>
    <r>
      <rPr>
        <b/>
        <sz val="11"/>
        <color theme="1"/>
        <rFont val="Courier New"/>
        <family val="3"/>
      </rPr>
      <t>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</si>
</sst>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.000"/>
    <numFmt numFmtId="165" formatCode="0.00000"/>
    <numFmt numFmtId="166" formatCode="h:mm:ss;@"/>
    <numFmt numFmtId="167" formatCode="0.000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0" xfId="0" quotePrefix="1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indent="1"/>
    </xf>
    <xf numFmtId="16" fontId="0" fillId="0" borderId="0" xfId="0" quotePrefix="1" applyNumberFormat="1"/>
    <xf numFmtId="165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0" xfId="0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3" borderId="4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1" fillId="3" borderId="24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Protection="1">
      <protection hidden="1"/>
    </xf>
    <xf numFmtId="164" fontId="0" fillId="2" borderId="0" xfId="0" applyNumberFormat="1" applyFill="1" applyProtection="1">
      <protection locked="0" hidden="1"/>
    </xf>
    <xf numFmtId="0" fontId="1" fillId="2" borderId="0" xfId="0" applyFont="1" applyFill="1" applyProtection="1">
      <protection hidden="1"/>
    </xf>
    <xf numFmtId="0" fontId="1" fillId="2" borderId="20" xfId="0" applyFont="1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1" fillId="2" borderId="23" xfId="0" applyFont="1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1" fillId="2" borderId="14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10" fontId="0" fillId="2" borderId="19" xfId="0" applyNumberFormat="1" applyFill="1" applyBorder="1" applyAlignment="1" applyProtection="1">
      <alignment horizontal="center"/>
      <protection hidden="1"/>
    </xf>
    <xf numFmtId="10" fontId="0" fillId="2" borderId="18" xfId="0" applyNumberForma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3" xfId="0" applyFill="1" applyBorder="1" applyProtection="1">
      <protection hidden="1"/>
    </xf>
    <xf numFmtId="2" fontId="0" fillId="2" borderId="2" xfId="0" applyNumberFormat="1" applyFill="1" applyBorder="1" applyProtection="1">
      <protection hidden="1"/>
    </xf>
    <xf numFmtId="2" fontId="0" fillId="2" borderId="3" xfId="0" applyNumberFormat="1" applyFill="1" applyBorder="1" applyProtection="1">
      <protection hidden="1"/>
    </xf>
    <xf numFmtId="2" fontId="0" fillId="2" borderId="4" xfId="0" applyNumberFormat="1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166" fontId="0" fillId="2" borderId="1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10" fontId="1" fillId="0" borderId="0" xfId="0" applyNumberFormat="1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68" fontId="1" fillId="5" borderId="0" xfId="0" applyNumberFormat="1" applyFont="1" applyFill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167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168" fontId="4" fillId="0" borderId="0" xfId="0" applyNumberFormat="1" applyFont="1" applyAlignment="1" applyProtection="1">
      <alignment horizontal="center"/>
      <protection hidden="1"/>
    </xf>
    <xf numFmtId="168" fontId="4" fillId="5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10" fontId="0" fillId="0" borderId="0" xfId="0" applyNumberFormat="1" applyAlignment="1" applyProtection="1">
      <alignment horizontal="center"/>
      <protection hidden="1"/>
    </xf>
    <xf numFmtId="168" fontId="0" fillId="0" borderId="0" xfId="0" applyNumberFormat="1" applyAlignment="1" applyProtection="1">
      <alignment horizontal="center"/>
      <protection hidden="1"/>
    </xf>
    <xf numFmtId="168" fontId="0" fillId="5" borderId="0" xfId="0" applyNumberFormat="1" applyFill="1" applyAlignment="1" applyProtection="1">
      <alignment horizontal="center"/>
      <protection hidden="1"/>
    </xf>
    <xf numFmtId="0" fontId="1" fillId="5" borderId="0" xfId="0" applyFont="1" applyFill="1" applyAlignment="1" applyProtection="1">
      <alignment horizontal="center"/>
      <protection hidden="1"/>
    </xf>
    <xf numFmtId="167" fontId="1" fillId="5" borderId="0" xfId="0" applyNumberFormat="1" applyFont="1" applyFill="1" applyAlignment="1" applyProtection="1">
      <alignment horizontal="center"/>
      <protection hidden="1"/>
    </xf>
    <xf numFmtId="10" fontId="1" fillId="5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43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E485F-1DBD-ED55-554A-363F29364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800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15240</xdr:rowOff>
    </xdr:from>
    <xdr:to>
      <xdr:col>9</xdr:col>
      <xdr:colOff>457200</xdr:colOff>
      <xdr:row>86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9B07E-8CCB-DE36-AF33-D61891AE0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9080"/>
          <a:ext cx="594360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86</xdr:row>
      <xdr:rowOff>144780</xdr:rowOff>
    </xdr:from>
    <xdr:to>
      <xdr:col>9</xdr:col>
      <xdr:colOff>464820</xdr:colOff>
      <xdr:row>123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D583A-A5A7-5220-F0E4-A594D8E9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872460"/>
          <a:ext cx="5943600" cy="662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4E38-E754-46BF-8C65-56E1C61A3E67}">
  <sheetPr codeName="Sheet1"/>
  <dimension ref="A1:AJ105"/>
  <sheetViews>
    <sheetView tabSelected="1" zoomScaleNormal="100" workbookViewId="0">
      <selection activeCell="A2" sqref="A2"/>
    </sheetView>
  </sheetViews>
  <sheetFormatPr defaultRowHeight="14.4" x14ac:dyDescent="0.3"/>
  <cols>
    <col min="1" max="1" width="14" customWidth="1"/>
    <col min="3" max="3" width="11.77734375" customWidth="1"/>
    <col min="4" max="4" width="12.21875" customWidth="1"/>
    <col min="5" max="5" width="10" bestFit="1" customWidth="1"/>
    <col min="6" max="11" width="10.109375" customWidth="1"/>
    <col min="12" max="12" width="14.77734375" style="7" customWidth="1"/>
    <col min="13" max="13" width="9.77734375" customWidth="1"/>
    <col min="14" max="14" width="10.5546875" customWidth="1"/>
    <col min="15" max="15" width="14.109375" customWidth="1"/>
    <col min="16" max="16" width="9.21875" bestFit="1" customWidth="1"/>
    <col min="17" max="17" width="13.77734375" customWidth="1"/>
    <col min="18" max="18" width="10.109375" bestFit="1" customWidth="1"/>
    <col min="21" max="21" width="3.33203125" bestFit="1" customWidth="1"/>
    <col min="22" max="22" width="12.88671875" customWidth="1"/>
    <col min="23" max="23" width="8.6640625" customWidth="1"/>
    <col min="24" max="24" width="5.33203125" customWidth="1"/>
    <col min="25" max="25" width="6.6640625" customWidth="1"/>
    <col min="26" max="26" width="3.109375" bestFit="1" customWidth="1"/>
    <col min="27" max="27" width="3.88671875" customWidth="1"/>
    <col min="28" max="28" width="3.33203125" bestFit="1" customWidth="1"/>
    <col min="29" max="29" width="3.77734375" bestFit="1" customWidth="1"/>
    <col min="30" max="30" width="3" bestFit="1" customWidth="1"/>
    <col min="31" max="31" width="3.21875" bestFit="1" customWidth="1"/>
    <col min="32" max="32" width="3.33203125" bestFit="1" customWidth="1"/>
    <col min="33" max="34" width="3.109375" bestFit="1" customWidth="1"/>
    <col min="35" max="35" width="3.33203125" bestFit="1" customWidth="1"/>
    <col min="36" max="36" width="4.109375" customWidth="1"/>
  </cols>
  <sheetData>
    <row r="1" spans="1:25" ht="24" thickBot="1" x14ac:dyDescent="0.5">
      <c r="A1" s="34" t="s">
        <v>166</v>
      </c>
      <c r="L1"/>
    </row>
    <row r="2" spans="1:25" ht="15.6" thickTop="1" thickBot="1" x14ac:dyDescent="0.35">
      <c r="A2" s="47">
        <v>3</v>
      </c>
      <c r="L2"/>
    </row>
    <row r="3" spans="1:25" ht="15.6" thickTop="1" thickBot="1" x14ac:dyDescent="0.35">
      <c r="A3" s="25"/>
      <c r="L3"/>
      <c r="W3" s="7" t="s">
        <v>165</v>
      </c>
    </row>
    <row r="4" spans="1:25" ht="15" thickTop="1" x14ac:dyDescent="0.3">
      <c r="D4" s="8" t="s">
        <v>124</v>
      </c>
      <c r="H4" s="8" t="s">
        <v>126</v>
      </c>
      <c r="V4" s="35"/>
      <c r="W4" s="36"/>
      <c r="X4" s="36"/>
      <c r="Y4" s="37"/>
    </row>
    <row r="5" spans="1:25" ht="15" thickBot="1" x14ac:dyDescent="0.35">
      <c r="A5" s="8" t="s">
        <v>125</v>
      </c>
      <c r="D5" s="8" t="s">
        <v>116</v>
      </c>
      <c r="H5" s="8" t="s">
        <v>130</v>
      </c>
      <c r="J5" s="6" t="s">
        <v>119</v>
      </c>
      <c r="L5" s="7" t="s">
        <v>160</v>
      </c>
      <c r="V5" s="29"/>
      <c r="W5" s="8" t="s">
        <v>156</v>
      </c>
      <c r="Y5" s="30"/>
    </row>
    <row r="6" spans="1:25" ht="15.6" thickTop="1" thickBot="1" x14ac:dyDescent="0.35">
      <c r="A6" s="7" t="s">
        <v>115</v>
      </c>
      <c r="B6" s="78" t="str">
        <f ca="1">TEXT(MROUND(B13/86400,1/24/60),"HH:MM")</f>
        <v>03:15</v>
      </c>
      <c r="D6" t="s">
        <v>11</v>
      </c>
      <c r="E6" s="43">
        <v>70000</v>
      </c>
      <c r="H6" t="s">
        <v>0</v>
      </c>
      <c r="I6" s="43">
        <v>9</v>
      </c>
      <c r="J6" s="66">
        <f ca="1">INT(RANDBETWEEN(3,5)*I6)</f>
        <v>36</v>
      </c>
      <c r="M6" s="6" t="s">
        <v>58</v>
      </c>
      <c r="N6" s="6" t="s">
        <v>57</v>
      </c>
      <c r="O6" s="6" t="s">
        <v>155</v>
      </c>
      <c r="V6" s="29"/>
      <c r="W6" s="3" t="s">
        <v>48</v>
      </c>
      <c r="X6" s="43">
        <v>6</v>
      </c>
      <c r="Y6" s="30"/>
    </row>
    <row r="7" spans="1:25" ht="15.6" thickTop="1" thickBot="1" x14ac:dyDescent="0.35">
      <c r="A7" t="s">
        <v>114</v>
      </c>
      <c r="B7" s="43">
        <v>17.3</v>
      </c>
      <c r="D7" t="s">
        <v>1</v>
      </c>
      <c r="E7" s="43">
        <v>1976</v>
      </c>
      <c r="H7" t="s">
        <v>128</v>
      </c>
      <c r="I7" s="43">
        <v>5</v>
      </c>
      <c r="J7" s="66">
        <f ca="1">RANDBETWEEN(2,6)*I7</f>
        <v>20</v>
      </c>
      <c r="M7" s="6" t="s">
        <v>54</v>
      </c>
      <c r="N7" s="18" t="s">
        <v>53</v>
      </c>
      <c r="O7" s="18" t="s">
        <v>53</v>
      </c>
      <c r="V7" s="29"/>
      <c r="W7" s="7" t="s">
        <v>15</v>
      </c>
      <c r="X7" s="49">
        <f>INT((X6/0.6529)+0.5)</f>
        <v>9</v>
      </c>
      <c r="Y7" s="30"/>
    </row>
    <row r="8" spans="1:25" ht="15.6" thickTop="1" thickBot="1" x14ac:dyDescent="0.35">
      <c r="A8" t="s">
        <v>113</v>
      </c>
      <c r="B8" s="43">
        <v>19</v>
      </c>
      <c r="D8" s="4" t="s">
        <v>2</v>
      </c>
      <c r="E8" s="66">
        <f ca="1">RANDBETWEEN(E7-(E7*0.1),E7+(E7*0.1))</f>
        <v>2145</v>
      </c>
      <c r="H8" t="s">
        <v>129</v>
      </c>
      <c r="I8" s="43">
        <v>11</v>
      </c>
      <c r="J8" s="66">
        <f ca="1">RANDBETWEEN(2,7)*I8</f>
        <v>66</v>
      </c>
      <c r="L8" s="7" t="s">
        <v>51</v>
      </c>
      <c r="M8" s="43">
        <v>0.375</v>
      </c>
      <c r="N8" s="65">
        <f>1/(1+M9*(1-M8)*(1-0.54)/M8/0.54/(1-M9))</f>
        <v>0.41326530612244894</v>
      </c>
      <c r="O8" s="65">
        <f>SUM(100%-N8)</f>
        <v>0.58673469387755106</v>
      </c>
      <c r="P8" s="8" t="s">
        <v>55</v>
      </c>
      <c r="V8" s="29"/>
      <c r="W8" s="8" t="s">
        <v>18</v>
      </c>
      <c r="X8" s="50">
        <f>SUM(X7-X6)</f>
        <v>3</v>
      </c>
      <c r="Y8" s="30"/>
    </row>
    <row r="9" spans="1:25" ht="15.6" thickTop="1" thickBot="1" x14ac:dyDescent="0.35">
      <c r="A9" t="s">
        <v>112</v>
      </c>
      <c r="B9" s="43">
        <v>6</v>
      </c>
      <c r="D9" s="4" t="s">
        <v>3</v>
      </c>
      <c r="E9" s="51">
        <f ca="1">SUM(E6+RANDBETWEEN(E6*0.025,E6*0.066))</f>
        <v>74129</v>
      </c>
      <c r="H9" t="s">
        <v>12</v>
      </c>
      <c r="I9" s="43">
        <v>4</v>
      </c>
      <c r="J9" s="66">
        <f ca="1">RANDBETWEEN(4,7)*I9</f>
        <v>20</v>
      </c>
      <c r="L9" s="7" t="s">
        <v>52</v>
      </c>
      <c r="M9" s="43">
        <v>0.5</v>
      </c>
      <c r="N9" s="64">
        <f xml:space="preserve"> 0.54 *M8  + 0.46 * (1-M8)</f>
        <v>0.49000000000000005</v>
      </c>
      <c r="O9" s="64">
        <f>SUM(100%-N9)</f>
        <v>0.51</v>
      </c>
      <c r="P9" s="8" t="s">
        <v>56</v>
      </c>
      <c r="V9" s="29"/>
      <c r="Y9" s="30"/>
    </row>
    <row r="10" spans="1:25" ht="15" thickTop="1" x14ac:dyDescent="0.3">
      <c r="A10" t="s">
        <v>111</v>
      </c>
      <c r="B10" s="43">
        <v>2</v>
      </c>
      <c r="H10" t="s">
        <v>13</v>
      </c>
      <c r="I10" s="43">
        <v>2</v>
      </c>
      <c r="J10" s="66">
        <f ca="1">RANDBETWEEN(3,7)*I10</f>
        <v>14</v>
      </c>
      <c r="U10" s="8"/>
      <c r="V10" s="29"/>
      <c r="W10" s="8" t="s">
        <v>157</v>
      </c>
      <c r="Y10" s="30"/>
    </row>
    <row r="11" spans="1:25" ht="15" thickBot="1" x14ac:dyDescent="0.35">
      <c r="A11" t="s">
        <v>110</v>
      </c>
      <c r="B11" s="43">
        <v>6</v>
      </c>
      <c r="D11" s="8" t="s">
        <v>171</v>
      </c>
      <c r="H11" t="s">
        <v>16</v>
      </c>
      <c r="I11" s="43">
        <v>1</v>
      </c>
      <c r="J11" s="66">
        <f ca="1">RANDBETWEEN(2,7)*I11</f>
        <v>2</v>
      </c>
      <c r="U11" s="8"/>
      <c r="V11" s="29"/>
      <c r="W11" s="3" t="s">
        <v>41</v>
      </c>
      <c r="X11" s="43">
        <v>36</v>
      </c>
      <c r="Y11" s="30"/>
    </row>
    <row r="12" spans="1:25" ht="15.6" thickTop="1" thickBot="1" x14ac:dyDescent="0.35">
      <c r="A12" s="3" t="s">
        <v>17</v>
      </c>
      <c r="B12" s="66">
        <f ca="1">IF(B7+B8&lt;36,RANDBETWEEN(134,154),RANDBETWEEN(150,170))</f>
        <v>165</v>
      </c>
      <c r="D12" t="s">
        <v>5</v>
      </c>
      <c r="H12" s="7" t="s">
        <v>120</v>
      </c>
      <c r="J12" s="51">
        <f ca="1">SUM(J6:J10)</f>
        <v>156</v>
      </c>
      <c r="L12" s="6" t="s">
        <v>161</v>
      </c>
      <c r="M12" s="54" t="s">
        <v>118</v>
      </c>
      <c r="N12" s="63" t="str">
        <f ca="1">IF(L13&lt;1801,"No Injuries",IF(L13&lt;=1980,1,2))</f>
        <v>No Injuries</v>
      </c>
      <c r="O12" s="41" t="s">
        <v>168</v>
      </c>
      <c r="Q12" s="42" t="s">
        <v>169</v>
      </c>
      <c r="R12" s="55" t="str">
        <f ca="1">IF(N12&lt;&gt;2,"No Injuries",2)</f>
        <v>No Injuries</v>
      </c>
      <c r="S12" s="54" t="s">
        <v>170</v>
      </c>
      <c r="V12" s="29"/>
      <c r="W12" s="3" t="s">
        <v>122</v>
      </c>
      <c r="X12" s="43">
        <v>0.1275</v>
      </c>
      <c r="Y12" s="30"/>
    </row>
    <row r="13" spans="1:25" ht="15.6" thickTop="1" thickBot="1" x14ac:dyDescent="0.35">
      <c r="A13" s="3" t="s">
        <v>14</v>
      </c>
      <c r="B13" s="66">
        <f ca="1">IF(B20="",SUM(B12*(B7*3+B8)+B9+B10+B11),SUM(B12*(B7*3+B8)+B9+B10+B11+B20))</f>
        <v>11712.500000000002</v>
      </c>
      <c r="D13" t="s">
        <v>4</v>
      </c>
      <c r="H13" s="8" t="s">
        <v>121</v>
      </c>
      <c r="J13" s="66" t="str">
        <f ca="1">IF(I6&lt;=7,IF(J12&gt;RANDBETWEEN(I6*16,I6*20),INT(I6*15.33),""),"")</f>
        <v/>
      </c>
      <c r="L13" s="79">
        <f ca="1">INT(RANDBETWEEN(1,2000))</f>
        <v>952</v>
      </c>
      <c r="M13" s="79">
        <f ca="1">INT(RANDBETWEEN(1,1500))</f>
        <v>1106</v>
      </c>
      <c r="N13" s="56" t="str">
        <f ca="1">IF(N12="No Injuries","",IF(L13&lt;1001,"Batter",IF(L13&lt;=1305,"St. Pitcher",IF(L13&lt;=1557,"R. Pitcher",IF(L13&lt;=1735,"OF",IF(L13&lt;=1894,"IF",IF(L13&lt;=1980,"Catcher","DH")))))))</f>
        <v/>
      </c>
      <c r="O13" s="61" t="str">
        <f ca="1">IF(N12="No Injuries","",IF(O15=2,"Top","Bottom"))</f>
        <v/>
      </c>
      <c r="P13" s="6" t="s">
        <v>74</v>
      </c>
      <c r="Q13" s="59" t="str">
        <f ca="1">IF(OR(R12="No Injuries", R12=1),"",IF(Q15=2,"Top","Bottom"))</f>
        <v/>
      </c>
      <c r="R13" s="56" t="str">
        <f ca="1">IF(OR(R12="No Injuries", R12=1),"",IF(S13&lt;1001,"Batter",IF(S13&lt;=1305,"St. Pitcher",IF(S13&lt;=1557,"R. Pitcher",IF(S13&lt;=1735,"OF",IF(S13&lt;=1894,"IF",IF(S13&lt;=1980,"Catcher","DH")))))))</f>
        <v/>
      </c>
      <c r="S13" s="79">
        <f ca="1">INT(RANDBETWEEN(1,1500))</f>
        <v>1054</v>
      </c>
      <c r="V13" s="29"/>
      <c r="W13" s="8" t="s">
        <v>42</v>
      </c>
      <c r="X13" s="51">
        <f>INT((X11*X12)+0.5)</f>
        <v>5</v>
      </c>
      <c r="Y13" s="30"/>
    </row>
    <row r="14" spans="1:25" ht="15" thickTop="1" x14ac:dyDescent="0.3">
      <c r="D14" t="s">
        <v>6</v>
      </c>
      <c r="M14" t="str">
        <f ca="1">IF(N13&lt;&gt;"OF","",RANDBETWEEN(1,3))</f>
        <v/>
      </c>
      <c r="N14" s="57" t="str">
        <f ca="1">IF(OR(N12="No Injuries", M14=""),"",IF(M14=1,"LF",IF(M14=2,"CF","RF")))</f>
        <v/>
      </c>
      <c r="O14" s="61" t="str">
        <f ca="1">IF(N12="No Injuries","",RANDBETWEEN(1,9))</f>
        <v/>
      </c>
      <c r="P14" s="6" t="s">
        <v>72</v>
      </c>
      <c r="Q14" s="59" t="str">
        <f ca="1">IF(OR(R12="No Injuries", R12=1),"",RANDBETWEEN(1,9))</f>
        <v/>
      </c>
      <c r="R14" s="57" t="str">
        <f ca="1">IF(OR(R12="No Injuries", S14="", R12=1),"",IF(S14=1,"LF",IF(S14=2,"CF","RF")))</f>
        <v/>
      </c>
      <c r="S14" t="str">
        <f ca="1">IF(R13&lt;&gt;"OF","",RANDBETWEEN(1,3))</f>
        <v/>
      </c>
      <c r="V14" s="29"/>
      <c r="Y14" s="30"/>
    </row>
    <row r="15" spans="1:25" ht="15" thickBot="1" x14ac:dyDescent="0.35">
      <c r="D15" t="s">
        <v>7</v>
      </c>
      <c r="H15" s="9" t="s">
        <v>21</v>
      </c>
      <c r="I15" s="2"/>
      <c r="M15" t="str">
        <f ca="1">IF(N13&lt;&gt;"IF","",RANDBETWEEN(1,4))</f>
        <v/>
      </c>
      <c r="N15" s="57" t="str">
        <f ca="1">IF(OR(N12="No Injuries", M15=""),"",IF(M15=1,"1B",IF(M15=2,"2B",IF(M15=3,"3B","SS"))))</f>
        <v/>
      </c>
      <c r="O15" s="61" t="str">
        <f ca="1">IF(N12="No Injuries","",RANDBETWEEN(1,2))</f>
        <v/>
      </c>
      <c r="P15" s="6" t="s">
        <v>73</v>
      </c>
      <c r="Q15" s="59" t="str">
        <f ca="1">IF(OR(R12="No Injuries", R12=1),"",RANDBETWEEN(1,2))</f>
        <v/>
      </c>
      <c r="R15" s="57" t="str">
        <f ca="1">IF(OR(R12="No Injuries", S15="", R12=1),"",IF(S15=1,"1B",IF(S15=2,"2B",IF(S15=3,"3B","SS"))))</f>
        <v/>
      </c>
      <c r="S15" t="str">
        <f ca="1">IF(R13&lt;&gt;"IF","",RANDBETWEEN(1,4))</f>
        <v/>
      </c>
      <c r="U15" s="7"/>
      <c r="V15" s="29"/>
      <c r="W15" s="8" t="s">
        <v>163</v>
      </c>
      <c r="Y15" s="30"/>
    </row>
    <row r="16" spans="1:25" ht="15.6" thickTop="1" thickBot="1" x14ac:dyDescent="0.35">
      <c r="A16" s="8" t="s">
        <v>164</v>
      </c>
      <c r="D16" t="s">
        <v>8</v>
      </c>
      <c r="H16" s="10" t="s">
        <v>22</v>
      </c>
      <c r="I16" s="1"/>
      <c r="N16" s="58" t="str">
        <f ca="1">IF(OR(N12="No Injuries", N13="Batter"),"",IF(RANDBETWEEN(1,1000)&lt;501,"HOME","AWAY"))</f>
        <v/>
      </c>
      <c r="O16" s="62" t="str">
        <f ca="1">IF(N12="No Injuries","",IF(RANDBETWEEN(1,1500)&lt;250,"Temp",IF(RANDBETWEEN(1,1500)&lt;350,"1",IF(RANDBETWEEN(1,1500)&lt;400,"2",IF(RANDBETWEEN(1,1500)&lt;450,"3",IF(RANDBETWEEN(1,1500)&lt;500,"4",IF(RANDBETWEEN(1,1500)&lt;550,"5",IF(RANDBETWEEN(1,1500)&lt;600,"6",IF(RANDBETWEEN(1,1500)&lt;650,"7",IF(RANDBETWEEN(1,1500)&lt;700,"8",IF(RANDBETWEEN(1,1500)&lt;750,"9",IF(RANDBETWEEN(1,1500)&lt;800,"10",IF(RANDBETWEEN(1,1500)&lt;850,"11",IF(RANDBETWEEN(1,1500)&lt;900,"12",IF(RANDBETWEEN(1,1500)&lt;950,"13",IF(RANDBETWEEN(1,1500)&lt;1000,"14",IF(RANDBETWEEN(1,1500)&lt;1050,"15",IF(RANDBETWEEN(1,1500)&lt;1100,"16",IF(RANDBETWEEN(1,1500)&lt;1150,"17",IF(RANDBETWEEN(1,1500)&lt;1200,"18",IF(RANDBETWEEN(1,1500)&lt;1250,"19",IF(RANDBETWEEN(1,1500)&lt;1300,"20",IF(RANDBETWEEN(1,1500)&lt;1350,"22",IF(RANDBETWEEN(1,1500)&lt;1400,"Half Of Remain","Rest Of Season"))))))))))))))))))))))))</f>
        <v/>
      </c>
      <c r="P16" s="6" t="s">
        <v>123</v>
      </c>
      <c r="Q16" s="60" t="str">
        <f ca="1">IF(OR(R12="No Injuries",R12=1),"",IF(M15&lt;250,"Temp",IF(M15&lt;350,"1",IF(M15&lt;400,"2",IF(M15&lt;450,"3",IF(M15&lt;500,"4",IF(M15&lt;550,"5",IF(M15&lt;600,"6",IF(M15&lt;650,"7",IF(M15&lt;700,"8",IF(M15&lt;750,"9",IF(M15&lt;800,"10",IF(M15&lt;850,"11",IF(M15&lt;900,"12",IF(M15&lt;950,"13",IF(M15&lt;1000,"14",IF(M15&lt;1050,"15",IF(M15&lt;1100,"16",IF(M15&lt;1150,"17",IF(M15&lt;1200,"18",IF(M15&lt;1250,"19",IF(M15&lt;1300,"20",IF(M15&lt;1350,"22",IF(M15&lt;1400,"Half Of Remain","Rest Of Season"))))))))))))))))))))))))</f>
        <v/>
      </c>
      <c r="R16" s="58" t="str">
        <f ca="1">IF(OR(R12="No Injuries", R13="Batter", R12=1),"",IF(RANDBETWEEN(1,1000)&lt;501,"HOME","AWAY"))</f>
        <v/>
      </c>
      <c r="U16" s="8"/>
      <c r="V16" s="29"/>
      <c r="W16" s="26" t="s">
        <v>26</v>
      </c>
      <c r="X16" s="45">
        <v>11</v>
      </c>
      <c r="Y16" s="30"/>
    </row>
    <row r="17" spans="1:36" ht="15.6" thickTop="1" thickBot="1" x14ac:dyDescent="0.35">
      <c r="A17" t="s">
        <v>153</v>
      </c>
      <c r="B17" s="56">
        <f ca="1">RANDBETWEEN(1,200)</f>
        <v>177</v>
      </c>
      <c r="D17" t="s">
        <v>9</v>
      </c>
      <c r="U17" s="8"/>
      <c r="V17" s="29"/>
      <c r="W17" s="27" t="s">
        <v>41</v>
      </c>
      <c r="X17" s="46">
        <v>31</v>
      </c>
      <c r="Y17" s="30"/>
    </row>
    <row r="18" spans="1:36" ht="15.6" thickTop="1" thickBot="1" x14ac:dyDescent="0.35">
      <c r="A18" t="s">
        <v>117</v>
      </c>
      <c r="B18" s="57" t="str">
        <f ca="1">IF(B17&lt;=4, "Delayed", IF(B17&lt;=7, "Postponed", IF(B17&lt;=10, "Cancelled", "Normal")))</f>
        <v>Normal</v>
      </c>
      <c r="D18" t="s">
        <v>10</v>
      </c>
      <c r="M18" s="8" t="s">
        <v>127</v>
      </c>
      <c r="U18" s="8"/>
      <c r="V18" s="29"/>
      <c r="W18" s="28" t="s">
        <v>43</v>
      </c>
      <c r="X18" s="52">
        <f>SUM(X16/X17)</f>
        <v>0.35483870967741937</v>
      </c>
      <c r="Y18" s="30"/>
    </row>
    <row r="19" spans="1:36" ht="15" thickTop="1" x14ac:dyDescent="0.3">
      <c r="A19" t="s">
        <v>19</v>
      </c>
      <c r="B19" s="57" t="str">
        <f ca="1">IF(B18="Normal","",IF(B18="Delayed",RANDBETWEEN(13,51),IF(B18="Postponed",RANDBETWEEN(15,53),IF(B18="Cancelled",IF(RANDBETWEEN(1,100)&lt;=85,"",RANDBETWEEN(10,45))))))</f>
        <v/>
      </c>
      <c r="G19" s="8" t="s">
        <v>159</v>
      </c>
      <c r="M19" s="21" t="s">
        <v>59</v>
      </c>
      <c r="O19">
        <v>295</v>
      </c>
      <c r="P19" t="s">
        <v>66</v>
      </c>
      <c r="V19" s="29"/>
      <c r="W19" s="29"/>
      <c r="X19" s="30"/>
      <c r="Y19" s="30"/>
    </row>
    <row r="20" spans="1:36" ht="15" thickBot="1" x14ac:dyDescent="0.35">
      <c r="A20" t="s">
        <v>167</v>
      </c>
      <c r="B20" s="67" t="str">
        <f ca="1">IF(B18="Delayed",RANDBETWEEN(10,90)*60,"")</f>
        <v/>
      </c>
      <c r="E20" s="14" t="s">
        <v>40</v>
      </c>
      <c r="F20" s="8" t="s">
        <v>30</v>
      </c>
      <c r="G20" s="43">
        <v>5</v>
      </c>
      <c r="H20" s="6" t="s">
        <v>31</v>
      </c>
      <c r="I20" s="11" t="s">
        <v>32</v>
      </c>
      <c r="J20" s="6" t="s">
        <v>33</v>
      </c>
      <c r="K20" s="6" t="str">
        <f>IF($G$20=4,"","3 G Rest")</f>
        <v>3 G Rest</v>
      </c>
      <c r="M20" s="21" t="s">
        <v>60</v>
      </c>
      <c r="O20">
        <v>537</v>
      </c>
      <c r="P20" t="s">
        <v>67</v>
      </c>
      <c r="V20" s="29"/>
      <c r="W20" s="27" t="s">
        <v>23</v>
      </c>
      <c r="X20" s="46">
        <v>10</v>
      </c>
      <c r="Y20" s="30"/>
    </row>
    <row r="21" spans="1:36" ht="15.6" thickTop="1" thickBot="1" x14ac:dyDescent="0.35">
      <c r="A21" s="8" t="s">
        <v>20</v>
      </c>
      <c r="F21" t="s">
        <v>23</v>
      </c>
      <c r="G21" s="44">
        <v>1.88</v>
      </c>
      <c r="H21" s="69">
        <f ca="1">SUM(H23/H22*9)</f>
        <v>2.864951768488746</v>
      </c>
      <c r="I21" s="70">
        <f ca="1">SUM(I23/I22*9)</f>
        <v>2.662379421221865</v>
      </c>
      <c r="J21" s="70">
        <f ca="1">SUM(J23/J22*9)</f>
        <v>2.372990353697749</v>
      </c>
      <c r="K21" s="71">
        <f ca="1">IF($G20=4,"",K23/K22*9)</f>
        <v>2.170418006430868</v>
      </c>
      <c r="M21" s="21" t="s">
        <v>61</v>
      </c>
      <c r="O21">
        <v>705</v>
      </c>
      <c r="P21" t="s">
        <v>68</v>
      </c>
      <c r="V21" s="29"/>
      <c r="W21" s="27" t="s">
        <v>24</v>
      </c>
      <c r="X21" s="46">
        <v>17</v>
      </c>
      <c r="Y21" s="30"/>
    </row>
    <row r="22" spans="1:36" ht="15.6" thickTop="1" thickBot="1" x14ac:dyDescent="0.35">
      <c r="F22" t="s">
        <v>24</v>
      </c>
      <c r="G22" s="43">
        <v>311</v>
      </c>
      <c r="H22" s="72">
        <f>$G$22</f>
        <v>311</v>
      </c>
      <c r="I22" s="66">
        <f>$G$22</f>
        <v>311</v>
      </c>
      <c r="J22" s="66">
        <f>$G$22</f>
        <v>311</v>
      </c>
      <c r="K22" s="73">
        <f>IF($G$20=4,"",$G$22)</f>
        <v>311</v>
      </c>
      <c r="M22" s="21" t="s">
        <v>62</v>
      </c>
      <c r="O22">
        <v>854</v>
      </c>
      <c r="P22" t="s">
        <v>69</v>
      </c>
      <c r="V22" s="29"/>
      <c r="W22" s="28" t="s">
        <v>44</v>
      </c>
      <c r="X22" s="51">
        <f>INT((X20/9*X21)+0.5)</f>
        <v>19</v>
      </c>
      <c r="Y22" s="30"/>
    </row>
    <row r="23" spans="1:36" ht="15.6" thickTop="1" thickBot="1" x14ac:dyDescent="0.35">
      <c r="F23" t="s">
        <v>25</v>
      </c>
      <c r="G23" s="68">
        <f>INT(G21/9*G22)+1</f>
        <v>65</v>
      </c>
      <c r="H23" s="66">
        <f ca="1">INT($G$23*(RAND()*(1.55-1.45)+1.45))</f>
        <v>99</v>
      </c>
      <c r="I23" s="66">
        <f ca="1">INT($G$23*(RAND()*(1.45-1.35)+1.35))</f>
        <v>92</v>
      </c>
      <c r="J23" s="66">
        <f ca="1">INT($G$23*(RAND()*(1.35-1.25)+1.25))</f>
        <v>82</v>
      </c>
      <c r="K23" s="73">
        <f ca="1">IF($G$20=4,"",INT($G$23*(RAND()*(1.25-1.15)+1.15)))</f>
        <v>75</v>
      </c>
      <c r="M23" s="21" t="s">
        <v>63</v>
      </c>
      <c r="O23">
        <v>930</v>
      </c>
      <c r="P23" t="s">
        <v>70</v>
      </c>
      <c r="V23" s="29"/>
      <c r="W23" s="29"/>
      <c r="X23" s="30"/>
      <c r="Y23" s="30"/>
    </row>
    <row r="24" spans="1:36" ht="15" thickTop="1" x14ac:dyDescent="0.3">
      <c r="A24" s="8" t="s">
        <v>162</v>
      </c>
      <c r="F24" t="s">
        <v>26</v>
      </c>
      <c r="G24" s="43">
        <v>214</v>
      </c>
      <c r="H24" s="72">
        <f ca="1">INT($G$24*(RAND()*(1.45-1.35)+1.35))</f>
        <v>297</v>
      </c>
      <c r="I24" s="66">
        <f ca="1">INT($G$24*(RAND()*(1.35-1.25)+1.25))</f>
        <v>282</v>
      </c>
      <c r="J24" s="66">
        <f ca="1">INT($G$24*(RAND()*(1.25-1.15)+1.15))</f>
        <v>264</v>
      </c>
      <c r="K24" s="73">
        <f ca="1">IF($G$20=4,"",INT($G$24*(RAND()*(1.15-1.05)+1.05)))</f>
        <v>241</v>
      </c>
      <c r="M24" s="21" t="s">
        <v>64</v>
      </c>
      <c r="O24">
        <v>941</v>
      </c>
      <c r="P24" t="s">
        <v>71</v>
      </c>
      <c r="V24" s="29"/>
      <c r="W24" s="27" t="s">
        <v>45</v>
      </c>
      <c r="X24" s="46">
        <v>26</v>
      </c>
      <c r="Y24" s="30"/>
    </row>
    <row r="25" spans="1:36" ht="15" thickBot="1" x14ac:dyDescent="0.35">
      <c r="A25" s="8" t="s">
        <v>93</v>
      </c>
      <c r="B25" s="24" t="s">
        <v>87</v>
      </c>
      <c r="C25" s="24" t="s">
        <v>48</v>
      </c>
      <c r="F25" t="s">
        <v>29</v>
      </c>
      <c r="G25" s="43">
        <v>27</v>
      </c>
      <c r="H25" s="72">
        <f ca="1">INT($G$25*(RAND()*(1.45-1.35)+1.35))</f>
        <v>38</v>
      </c>
      <c r="I25" s="66">
        <f ca="1">INT($G$25*(RAND()*(1.35-1.25)+1.25))</f>
        <v>35</v>
      </c>
      <c r="J25" s="66">
        <f ca="1">INT($G$25*(RAND()*(1.25-1.15)+1.15))</f>
        <v>32</v>
      </c>
      <c r="K25" s="73">
        <f ca="1">IF($G$20=4,"",INT($G$25*(RAND()*(1.15-1.05)+1.05)))</f>
        <v>28</v>
      </c>
      <c r="M25" s="21" t="s">
        <v>65</v>
      </c>
      <c r="V25" s="29"/>
      <c r="W25" s="27" t="s">
        <v>46</v>
      </c>
      <c r="X25" s="46">
        <v>1</v>
      </c>
      <c r="Y25" s="30"/>
    </row>
    <row r="26" spans="1:36" ht="15.6" thickTop="1" thickBot="1" x14ac:dyDescent="0.35">
      <c r="A26" t="s">
        <v>41</v>
      </c>
      <c r="B26" s="43">
        <v>314</v>
      </c>
      <c r="C26" s="8"/>
      <c r="F26" t="s">
        <v>27</v>
      </c>
      <c r="G26" s="43">
        <v>306</v>
      </c>
      <c r="H26" s="72">
        <f ca="1">INT($G$26*(RAND()*(0.8-0.7)+0.7))</f>
        <v>220</v>
      </c>
      <c r="I26" s="66">
        <f ca="1">INT($G$26*(RAND()*(0.85-0.75)+0.75))</f>
        <v>251</v>
      </c>
      <c r="J26" s="66">
        <f ca="1">INT($G$26*(RAND()*(0.9-0.8)+0.8))</f>
        <v>250</v>
      </c>
      <c r="K26" s="73">
        <f ca="1">IF($G$20=4,"",INT($G$26*(RAND()*(1-0.9)+0.9)))</f>
        <v>286</v>
      </c>
      <c r="V26" s="29"/>
      <c r="W26" s="31" t="s">
        <v>47</v>
      </c>
      <c r="X26" s="52">
        <f>SUM(1-(X25/X24))</f>
        <v>0.96153846153846156</v>
      </c>
      <c r="Y26" s="30"/>
    </row>
    <row r="27" spans="1:36" ht="15.6" thickTop="1" thickBot="1" x14ac:dyDescent="0.35">
      <c r="A27" s="19" t="s">
        <v>48</v>
      </c>
      <c r="B27" s="43">
        <v>11</v>
      </c>
      <c r="F27" t="s">
        <v>28</v>
      </c>
      <c r="G27" s="43">
        <v>58</v>
      </c>
      <c r="H27" s="74">
        <f ca="1">INT($G$27*(RAND()*(1.45-1.35)+1.35))</f>
        <v>80</v>
      </c>
      <c r="I27" s="75">
        <f ca="1">INT($G$27*(RAND()*(1.35-1.25)+1.25))</f>
        <v>72</v>
      </c>
      <c r="J27" s="75">
        <f ca="1">INT($G$27*(RAND()*(1.25-1.15)+1.15))</f>
        <v>71</v>
      </c>
      <c r="K27" s="76">
        <f ca="1">IF($G$20=4,"",INT($G$27*(RAND()*(1.15-1.05)+1.05)))</f>
        <v>64</v>
      </c>
      <c r="V27" s="29"/>
      <c r="Y27" s="30"/>
    </row>
    <row r="28" spans="1:36" ht="15" thickTop="1" x14ac:dyDescent="0.3">
      <c r="A28" t="s">
        <v>75</v>
      </c>
      <c r="B28" s="43">
        <v>58</v>
      </c>
      <c r="C28" s="15"/>
      <c r="H28" s="6" t="s">
        <v>34</v>
      </c>
      <c r="I28" s="6" t="s">
        <v>35</v>
      </c>
      <c r="J28" s="6" t="s">
        <v>36</v>
      </c>
      <c r="K28" s="6" t="str">
        <f>IF($G$20=4,"","G+4")</f>
        <v>G+4</v>
      </c>
      <c r="U28" s="35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7"/>
    </row>
    <row r="29" spans="1:36" x14ac:dyDescent="0.3">
      <c r="A29" t="s">
        <v>76</v>
      </c>
      <c r="B29" s="43">
        <v>15</v>
      </c>
      <c r="U29" s="29"/>
      <c r="V29" s="33" t="s">
        <v>158</v>
      </c>
      <c r="AJ29" s="30"/>
    </row>
    <row r="30" spans="1:36" x14ac:dyDescent="0.3">
      <c r="A30" t="s">
        <v>77</v>
      </c>
      <c r="B30" s="43">
        <v>5</v>
      </c>
      <c r="F30" s="13" t="s">
        <v>39</v>
      </c>
      <c r="G30" s="12"/>
      <c r="H30" s="12"/>
      <c r="U30" s="29"/>
      <c r="V30" s="6" t="s">
        <v>136</v>
      </c>
      <c r="W30" s="6" t="s">
        <v>137</v>
      </c>
      <c r="X30" s="6" t="s">
        <v>41</v>
      </c>
      <c r="Y30" s="6" t="s">
        <v>138</v>
      </c>
      <c r="Z30" s="6" t="s">
        <v>139</v>
      </c>
      <c r="AA30" s="6" t="s">
        <v>140</v>
      </c>
      <c r="AB30" s="6" t="s">
        <v>29</v>
      </c>
      <c r="AC30" s="6" t="s">
        <v>141</v>
      </c>
      <c r="AD30" s="6" t="s">
        <v>75</v>
      </c>
      <c r="AE30" s="6" t="s">
        <v>28</v>
      </c>
      <c r="AF30" s="6" t="s">
        <v>142</v>
      </c>
      <c r="AG30" s="6" t="s">
        <v>48</v>
      </c>
      <c r="AH30" s="6" t="s">
        <v>143</v>
      </c>
      <c r="AI30" s="6" t="s">
        <v>144</v>
      </c>
      <c r="AJ30" s="30"/>
    </row>
    <row r="31" spans="1:36" ht="15" thickBot="1" x14ac:dyDescent="0.35">
      <c r="A31" t="s">
        <v>29</v>
      </c>
      <c r="B31" s="43">
        <v>29</v>
      </c>
      <c r="F31" s="13" t="s">
        <v>37</v>
      </c>
      <c r="G31" s="12"/>
      <c r="H31" s="12"/>
      <c r="U31" s="29"/>
      <c r="V31" s="43" t="s">
        <v>145</v>
      </c>
      <c r="W31" s="53">
        <f>IF(X31="","", (0.15 * Y31/X31) + (0.2 * Z31) + (0.25 * AA31) + (0.3 * AB31) + (0.1 * AG31) + (0.3 * AE31) + (0.4 * AC31) + (0.4 * AD31) - (0.2 * AI31) - (0.1 * AH31) - (0.1 * AF31))</f>
        <v>7.1550000000000011</v>
      </c>
      <c r="X31" s="48">
        <v>30</v>
      </c>
      <c r="Y31" s="48">
        <v>11</v>
      </c>
      <c r="Z31" s="48">
        <v>5</v>
      </c>
      <c r="AA31" s="48">
        <v>2</v>
      </c>
      <c r="AB31" s="48"/>
      <c r="AC31" s="48">
        <v>6</v>
      </c>
      <c r="AD31" s="48">
        <v>6</v>
      </c>
      <c r="AE31" s="48">
        <v>3</v>
      </c>
      <c r="AF31" s="48">
        <v>1</v>
      </c>
      <c r="AG31" s="48"/>
      <c r="AH31" s="48"/>
      <c r="AI31" s="48"/>
      <c r="AJ31" s="30"/>
    </row>
    <row r="32" spans="1:36" ht="15.6" thickTop="1" thickBot="1" x14ac:dyDescent="0.35">
      <c r="B32" s="51">
        <f>SUM(((B27/B26)*600) + (((B28-B31)/B26)*600) + (((B29/2)/B26)*600) + (((B30/B26)*600)))</f>
        <v>100.31847133757962</v>
      </c>
      <c r="C32" s="51">
        <f>SUM((B27/B26)*600)</f>
        <v>21.019108280254777</v>
      </c>
      <c r="F32" s="13" t="s">
        <v>38</v>
      </c>
      <c r="G32" s="12"/>
      <c r="H32" s="12"/>
      <c r="U32" s="29"/>
      <c r="V32" s="43" t="s">
        <v>146</v>
      </c>
      <c r="W32" s="53">
        <f t="shared" ref="W32:W38" si="0">IF(X32="","", (0.15 * Y32/X32) + (0.2 * Z32) + (0.25 * AA32) + (0.3 * AB32) + (0.1 * AG32) + (0.3 * AE32) + (0.4 * AC32) + (0.4 * AD32) - (0.2 * AI32) - (0.1 * AH32) - (0.1 * AF32))</f>
        <v>9.0649999999999995</v>
      </c>
      <c r="X32" s="48">
        <v>30</v>
      </c>
      <c r="Y32" s="48">
        <v>13</v>
      </c>
      <c r="Z32" s="48">
        <v>3</v>
      </c>
      <c r="AA32" s="48"/>
      <c r="AB32" s="48">
        <v>2</v>
      </c>
      <c r="AC32" s="48">
        <v>9</v>
      </c>
      <c r="AD32" s="48">
        <v>10</v>
      </c>
      <c r="AE32" s="48">
        <v>1</v>
      </c>
      <c r="AF32" s="48">
        <v>1</v>
      </c>
      <c r="AG32" s="48"/>
      <c r="AH32" s="48"/>
      <c r="AI32" s="48"/>
      <c r="AJ32" s="30"/>
    </row>
    <row r="33" spans="1:36" ht="15" thickTop="1" x14ac:dyDescent="0.3">
      <c r="U33" s="29"/>
      <c r="V33" s="43" t="s">
        <v>147</v>
      </c>
      <c r="W33" s="53">
        <f t="shared" si="0"/>
        <v>0.86499999999999999</v>
      </c>
      <c r="X33" s="48">
        <v>30</v>
      </c>
      <c r="Y33" s="48">
        <v>13</v>
      </c>
      <c r="Z33" s="48">
        <v>1</v>
      </c>
      <c r="AA33" s="48"/>
      <c r="AB33" s="48">
        <v>2</v>
      </c>
      <c r="AC33" s="48"/>
      <c r="AD33" s="48"/>
      <c r="AE33" s="48"/>
      <c r="AF33" s="48"/>
      <c r="AG33" s="48"/>
      <c r="AH33" s="48"/>
      <c r="AI33" s="48"/>
      <c r="AJ33" s="30"/>
    </row>
    <row r="34" spans="1:36" x14ac:dyDescent="0.3">
      <c r="A34" s="4" t="s">
        <v>48</v>
      </c>
      <c r="B34" t="s">
        <v>78</v>
      </c>
      <c r="C34" s="19" t="s">
        <v>79</v>
      </c>
      <c r="U34" s="29"/>
      <c r="V34" s="43" t="s">
        <v>148</v>
      </c>
      <c r="W34" s="53">
        <f t="shared" si="0"/>
        <v>4.4117647058823532E-2</v>
      </c>
      <c r="X34" s="48">
        <v>34</v>
      </c>
      <c r="Y34" s="48">
        <v>10</v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</row>
    <row r="35" spans="1:36" x14ac:dyDescent="0.3">
      <c r="B35" t="s">
        <v>80</v>
      </c>
      <c r="C35" s="19" t="s">
        <v>83</v>
      </c>
      <c r="E35" s="8" t="s">
        <v>172</v>
      </c>
      <c r="U35" s="29"/>
      <c r="V35" s="43" t="s">
        <v>149</v>
      </c>
      <c r="W35" s="53">
        <f t="shared" si="0"/>
        <v>0.44354838709677419</v>
      </c>
      <c r="X35" s="48">
        <v>31</v>
      </c>
      <c r="Y35" s="48">
        <v>9</v>
      </c>
      <c r="Z35" s="48">
        <v>2</v>
      </c>
      <c r="AA35" s="48"/>
      <c r="AB35" s="48"/>
      <c r="AC35" s="48"/>
      <c r="AD35" s="48"/>
      <c r="AE35" s="48"/>
      <c r="AF35" s="48"/>
      <c r="AG35" s="48"/>
      <c r="AH35" s="48"/>
      <c r="AI35" s="48"/>
      <c r="AJ35" s="30"/>
    </row>
    <row r="36" spans="1:36" ht="15" thickBot="1" x14ac:dyDescent="0.35">
      <c r="B36" t="s">
        <v>81</v>
      </c>
      <c r="C36" s="22" t="s">
        <v>84</v>
      </c>
      <c r="E36" s="8" t="s">
        <v>131</v>
      </c>
      <c r="G36" s="6" t="s">
        <v>78</v>
      </c>
      <c r="H36" s="6" t="s">
        <v>80</v>
      </c>
      <c r="I36" s="6" t="s">
        <v>81</v>
      </c>
      <c r="J36" s="6" t="s">
        <v>49</v>
      </c>
      <c r="K36" s="6" t="s">
        <v>82</v>
      </c>
      <c r="U36" s="29"/>
      <c r="V36" s="43" t="s">
        <v>150</v>
      </c>
      <c r="W36" s="53">
        <f t="shared" si="0"/>
        <v>0.24285714285714288</v>
      </c>
      <c r="X36" s="48">
        <v>28</v>
      </c>
      <c r="Y36" s="48">
        <v>8</v>
      </c>
      <c r="Z36" s="48">
        <v>1</v>
      </c>
      <c r="AA36" s="48"/>
      <c r="AB36" s="48"/>
      <c r="AC36" s="48"/>
      <c r="AD36" s="48"/>
      <c r="AE36" s="48"/>
      <c r="AF36" s="48"/>
      <c r="AG36" s="48"/>
      <c r="AH36" s="48"/>
      <c r="AI36" s="48"/>
      <c r="AJ36" s="30"/>
    </row>
    <row r="37" spans="1:36" ht="15.6" thickTop="1" thickBot="1" x14ac:dyDescent="0.35">
      <c r="B37" t="s">
        <v>49</v>
      </c>
      <c r="C37" s="19" t="s">
        <v>85</v>
      </c>
      <c r="F37" s="8" t="s">
        <v>133</v>
      </c>
      <c r="G37" s="77" t="str">
        <f ca="1">CHOOSE(MATCH(RANDBETWEEN(1,1000),{1,400,900}),"Steal","H&amp;R","No")</f>
        <v>Steal</v>
      </c>
      <c r="H37" s="77" t="str">
        <f ca="1">CHOOSE(MATCH(RANDBETWEEN(1,1000),{1,300,750}),"Steal","H&amp;R","No")</f>
        <v>H&amp;R</v>
      </c>
      <c r="I37" s="77" t="str">
        <f ca="1">CHOOSE(MATCH(RANDBETWEEN(1,1000),{1,200,500}),"Steal","H&amp;R","No")</f>
        <v>No</v>
      </c>
      <c r="J37" s="77" t="str">
        <f ca="1">CHOOSE(MATCH(RANDBETWEEN(1,1000),{1,100,250}),"Steal","H&amp;R","No")</f>
        <v>Steal</v>
      </c>
      <c r="K37" s="77" t="str">
        <f ca="1">CHOOSE(MATCH(RANDBETWEEN(1,1000),{1,50,100}),"Steal","H&amp;R","No")</f>
        <v>No</v>
      </c>
      <c r="U37" s="29"/>
      <c r="V37" s="43" t="s">
        <v>151</v>
      </c>
      <c r="W37" s="53">
        <f t="shared" si="0"/>
        <v>0.28870967741935483</v>
      </c>
      <c r="X37" s="48">
        <v>31</v>
      </c>
      <c r="Y37" s="48">
        <v>8</v>
      </c>
      <c r="Z37" s="48"/>
      <c r="AA37" s="48">
        <v>1</v>
      </c>
      <c r="AB37" s="48"/>
      <c r="AC37" s="48"/>
      <c r="AD37" s="48"/>
      <c r="AE37" s="48"/>
      <c r="AF37" s="48"/>
      <c r="AG37" s="48"/>
      <c r="AH37" s="48"/>
      <c r="AI37" s="48"/>
      <c r="AJ37" s="30"/>
    </row>
    <row r="38" spans="1:36" ht="15" thickTop="1" x14ac:dyDescent="0.3">
      <c r="B38" t="s">
        <v>82</v>
      </c>
      <c r="C38" s="19" t="s">
        <v>86</v>
      </c>
      <c r="J38" s="15"/>
      <c r="K38" s="15"/>
      <c r="M38" s="5"/>
      <c r="N38" s="5"/>
      <c r="O38" s="5"/>
      <c r="P38" s="32"/>
      <c r="U38" s="29"/>
      <c r="V38" s="43" t="s">
        <v>152</v>
      </c>
      <c r="W38" s="53">
        <f t="shared" si="0"/>
        <v>1.2076923076923078</v>
      </c>
      <c r="X38" s="48">
        <v>26</v>
      </c>
      <c r="Y38" s="48">
        <v>10</v>
      </c>
      <c r="Z38" s="48">
        <v>3</v>
      </c>
      <c r="AA38" s="48">
        <v>1</v>
      </c>
      <c r="AB38" s="48">
        <v>1</v>
      </c>
      <c r="AC38" s="48"/>
      <c r="AD38" s="48"/>
      <c r="AE38" s="48"/>
      <c r="AF38" s="48"/>
      <c r="AG38" s="48"/>
      <c r="AH38" s="48"/>
      <c r="AI38" s="48"/>
      <c r="AJ38" s="30"/>
    </row>
    <row r="39" spans="1:36" ht="15" thickBot="1" x14ac:dyDescent="0.35">
      <c r="F39" s="8" t="s">
        <v>132</v>
      </c>
      <c r="M39" s="5"/>
      <c r="N39" s="5"/>
      <c r="O39" s="5"/>
      <c r="P39" s="32"/>
      <c r="U39" s="38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</row>
    <row r="40" spans="1:36" ht="15" thickTop="1" x14ac:dyDescent="0.3">
      <c r="A40" s="4" t="s">
        <v>87</v>
      </c>
      <c r="B40" t="s">
        <v>78</v>
      </c>
      <c r="C40" s="20" t="s">
        <v>88</v>
      </c>
      <c r="F40" s="8" t="s">
        <v>134</v>
      </c>
      <c r="G40" s="16">
        <v>40</v>
      </c>
      <c r="H40" s="16">
        <v>30</v>
      </c>
      <c r="I40" s="16">
        <v>20</v>
      </c>
      <c r="J40" s="16">
        <v>10</v>
      </c>
      <c r="K40" s="16">
        <v>5</v>
      </c>
      <c r="M40" s="5"/>
      <c r="N40" s="5"/>
      <c r="O40" s="5"/>
      <c r="P40" s="32"/>
      <c r="Q40" s="32"/>
      <c r="U40" s="32"/>
      <c r="Z40" s="8" t="s">
        <v>165</v>
      </c>
    </row>
    <row r="41" spans="1:36" x14ac:dyDescent="0.3">
      <c r="B41" t="s">
        <v>80</v>
      </c>
      <c r="C41" s="20" t="s">
        <v>89</v>
      </c>
      <c r="F41" s="8" t="s">
        <v>154</v>
      </c>
      <c r="G41" s="16">
        <v>50</v>
      </c>
      <c r="H41" s="16">
        <v>45</v>
      </c>
      <c r="I41" s="16">
        <v>30</v>
      </c>
      <c r="J41" s="16">
        <v>15</v>
      </c>
      <c r="K41" s="16">
        <v>5</v>
      </c>
      <c r="U41" s="32"/>
    </row>
    <row r="42" spans="1:36" x14ac:dyDescent="0.3">
      <c r="B42" t="s">
        <v>81</v>
      </c>
      <c r="C42" s="20" t="s">
        <v>90</v>
      </c>
      <c r="F42" s="8" t="s">
        <v>135</v>
      </c>
      <c r="G42">
        <v>10</v>
      </c>
      <c r="H42">
        <v>25</v>
      </c>
      <c r="I42">
        <v>50</v>
      </c>
      <c r="J42">
        <v>75</v>
      </c>
      <c r="K42">
        <v>90</v>
      </c>
      <c r="M42" s="5"/>
      <c r="N42" s="5"/>
      <c r="O42" s="5"/>
      <c r="P42" s="32"/>
      <c r="Q42" s="32"/>
    </row>
    <row r="43" spans="1:36" x14ac:dyDescent="0.3">
      <c r="B43" t="s">
        <v>49</v>
      </c>
      <c r="C43" s="20" t="s">
        <v>91</v>
      </c>
      <c r="M43" s="5"/>
      <c r="N43" s="5"/>
      <c r="O43" s="5"/>
      <c r="P43" s="32"/>
      <c r="Q43" s="32"/>
    </row>
    <row r="44" spans="1:36" x14ac:dyDescent="0.3">
      <c r="B44" t="s">
        <v>82</v>
      </c>
      <c r="C44" s="20" t="s">
        <v>92</v>
      </c>
      <c r="M44" s="5"/>
      <c r="N44" s="5"/>
      <c r="O44" s="5"/>
      <c r="P44" s="32"/>
      <c r="Q44" s="32"/>
    </row>
    <row r="45" spans="1:36" x14ac:dyDescent="0.3">
      <c r="J45" s="6"/>
      <c r="K45" s="6"/>
      <c r="M45" s="5"/>
      <c r="N45" s="5"/>
      <c r="O45" s="5"/>
      <c r="P45" s="32"/>
      <c r="Q45" s="32"/>
    </row>
    <row r="49" spans="5:11" x14ac:dyDescent="0.3">
      <c r="J49" s="6"/>
      <c r="K49" s="6"/>
    </row>
    <row r="50" spans="5:11" x14ac:dyDescent="0.3">
      <c r="J50" s="15"/>
      <c r="K50" s="15"/>
    </row>
    <row r="51" spans="5:11" x14ac:dyDescent="0.3">
      <c r="E51" s="19"/>
      <c r="H51" s="5"/>
      <c r="I51" s="23"/>
    </row>
    <row r="57" spans="5:11" x14ac:dyDescent="0.3">
      <c r="H57" s="6"/>
      <c r="I57" s="6"/>
      <c r="J57" s="6"/>
      <c r="K57" s="6"/>
    </row>
    <row r="60" spans="5:11" x14ac:dyDescent="0.3">
      <c r="G60" s="8"/>
    </row>
    <row r="61" spans="5:11" x14ac:dyDescent="0.3">
      <c r="E61" s="14"/>
      <c r="F61" s="8"/>
      <c r="H61" s="6"/>
      <c r="I61" s="11"/>
      <c r="J61" s="6"/>
      <c r="K61" s="6"/>
    </row>
    <row r="62" spans="5:11" x14ac:dyDescent="0.3">
      <c r="G62" s="15"/>
      <c r="H62" s="15"/>
      <c r="I62" s="15"/>
      <c r="J62" s="15"/>
      <c r="K62" s="15"/>
    </row>
    <row r="69" spans="5:11" x14ac:dyDescent="0.3">
      <c r="H69" s="6"/>
      <c r="I69" s="6"/>
      <c r="J69" s="6"/>
      <c r="K69" s="6"/>
    </row>
    <row r="70" spans="5:11" x14ac:dyDescent="0.3">
      <c r="G70" s="15"/>
      <c r="H70" s="15"/>
      <c r="I70" s="15"/>
      <c r="J70" s="15"/>
      <c r="K70" s="15"/>
    </row>
    <row r="72" spans="5:11" x14ac:dyDescent="0.3">
      <c r="G72" s="8"/>
    </row>
    <row r="73" spans="5:11" x14ac:dyDescent="0.3">
      <c r="E73" s="14"/>
      <c r="F73" s="8"/>
      <c r="H73" s="6"/>
      <c r="I73" s="11"/>
      <c r="J73" s="6"/>
      <c r="K73" s="6"/>
    </row>
    <row r="74" spans="5:11" x14ac:dyDescent="0.3">
      <c r="G74" s="15"/>
      <c r="H74" s="15"/>
      <c r="I74" s="15"/>
      <c r="J74" s="15"/>
      <c r="K74" s="15"/>
    </row>
    <row r="81" spans="5:12" x14ac:dyDescent="0.3">
      <c r="H81" s="6"/>
      <c r="I81" s="6"/>
      <c r="J81" s="6"/>
      <c r="K81" s="6"/>
    </row>
    <row r="84" spans="5:12" x14ac:dyDescent="0.3">
      <c r="G84" s="8"/>
    </row>
    <row r="85" spans="5:12" x14ac:dyDescent="0.3">
      <c r="E85" s="14"/>
      <c r="F85" s="8"/>
      <c r="H85" s="6"/>
      <c r="I85" s="11"/>
      <c r="J85" s="6"/>
      <c r="K85" s="6"/>
    </row>
    <row r="86" spans="5:12" x14ac:dyDescent="0.3">
      <c r="G86" s="15"/>
      <c r="H86" s="15"/>
      <c r="I86" s="15"/>
      <c r="J86" s="15"/>
      <c r="K86" s="15"/>
    </row>
    <row r="92" spans="5:12" x14ac:dyDescent="0.3">
      <c r="H92" s="8"/>
    </row>
    <row r="93" spans="5:12" x14ac:dyDescent="0.3">
      <c r="F93" s="14"/>
      <c r="G93" s="8"/>
      <c r="I93" s="6"/>
      <c r="J93" s="11"/>
      <c r="K93" s="6"/>
    </row>
    <row r="94" spans="5:12" x14ac:dyDescent="0.3">
      <c r="H94" s="15"/>
      <c r="I94" s="15"/>
      <c r="J94" s="15"/>
      <c r="K94" s="15"/>
      <c r="L94" s="17"/>
    </row>
    <row r="101" spans="7:11" x14ac:dyDescent="0.3">
      <c r="I101" s="6"/>
      <c r="J101" s="6"/>
      <c r="K101" s="6"/>
    </row>
    <row r="103" spans="7:11" x14ac:dyDescent="0.3">
      <c r="G103" s="8"/>
    </row>
    <row r="104" spans="7:11" x14ac:dyDescent="0.3">
      <c r="G104" s="8"/>
    </row>
    <row r="105" spans="7:11" x14ac:dyDescent="0.3">
      <c r="G105" s="8"/>
    </row>
  </sheetData>
  <sheetProtection algorithmName="SHA-512" hashValue="/rdmUUUgCvGK/T+DK8K/rWfhQo5nxeeZsm/B/fZ4ga4rGapJpP2cnVhWS8ZW80NEH2Q+Kq2VLNwdb+gmm5cW9Q==" saltValue="2bs8acEKLAEJhLSBxt3P8Q==" spinCount="100000" sheet="1" objects="1" scenarios="1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A682-A4EB-4C2C-8CCC-F67639AE3651}">
  <dimension ref="A1"/>
  <sheetViews>
    <sheetView workbookViewId="0">
      <selection activeCell="K1" sqref="K1"/>
    </sheetView>
  </sheetViews>
  <sheetFormatPr defaultRowHeight="14.4" x14ac:dyDescent="0.3"/>
  <sheetData/>
  <sheetProtection algorithmName="SHA-512" hashValue="0wnuJpJi8w8DRRSp2FDr4vi5nnNSV6H5mKTAd6Y5khR7qbDizhGXDZ7gtDUGoP9xM4r3Z5SiDJ/oBQprpm6KYA==" saltValue="/Eght0uQWU4egvLS6xQCJ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7C34-CAAC-4C6D-A387-10EFC2E02205}">
  <dimension ref="A1:M158"/>
  <sheetViews>
    <sheetView topLeftCell="A148" workbookViewId="0">
      <selection activeCell="A156" sqref="A156"/>
    </sheetView>
  </sheetViews>
  <sheetFormatPr defaultRowHeight="14.4" x14ac:dyDescent="0.3"/>
  <sheetData>
    <row r="1" spans="1:13" x14ac:dyDescent="0.3">
      <c r="A1" s="80" t="s">
        <v>50</v>
      </c>
      <c r="B1" s="81" t="s">
        <v>94</v>
      </c>
      <c r="C1" s="82" t="s">
        <v>95</v>
      </c>
      <c r="D1" s="83" t="s">
        <v>96</v>
      </c>
      <c r="E1" s="84" t="s">
        <v>97</v>
      </c>
      <c r="F1" s="83" t="s">
        <v>98</v>
      </c>
      <c r="G1" s="84" t="s">
        <v>99</v>
      </c>
      <c r="H1" s="83" t="s">
        <v>100</v>
      </c>
      <c r="I1" s="84" t="s">
        <v>101</v>
      </c>
      <c r="J1" s="83" t="s">
        <v>102</v>
      </c>
      <c r="K1" s="84" t="s">
        <v>103</v>
      </c>
      <c r="L1" s="83" t="s">
        <v>104</v>
      </c>
      <c r="M1" s="84" t="s">
        <v>105</v>
      </c>
    </row>
    <row r="2" spans="1:13" ht="25.8" x14ac:dyDescent="0.5">
      <c r="A2" s="85" t="s">
        <v>106</v>
      </c>
      <c r="B2" s="86"/>
      <c r="C2" s="87"/>
      <c r="D2" s="88"/>
      <c r="E2" s="89"/>
      <c r="F2" s="88"/>
      <c r="G2" s="89"/>
      <c r="H2" s="88"/>
      <c r="I2" s="89"/>
      <c r="J2" s="88"/>
      <c r="K2" s="89"/>
      <c r="L2" s="88"/>
      <c r="M2" s="89"/>
    </row>
    <row r="3" spans="1:13" x14ac:dyDescent="0.3">
      <c r="A3" s="90">
        <v>1871</v>
      </c>
      <c r="B3" s="91" t="s">
        <v>107</v>
      </c>
      <c r="C3" s="92" t="s">
        <v>107</v>
      </c>
      <c r="D3" s="93" t="s">
        <v>107</v>
      </c>
      <c r="E3" s="94" t="s">
        <v>107</v>
      </c>
      <c r="F3" s="93" t="s">
        <v>107</v>
      </c>
      <c r="G3" s="94" t="s">
        <v>107</v>
      </c>
      <c r="H3" s="93" t="s">
        <v>107</v>
      </c>
      <c r="I3" s="94" t="s">
        <v>107</v>
      </c>
      <c r="J3" s="93" t="s">
        <v>107</v>
      </c>
      <c r="K3" s="94" t="s">
        <v>107</v>
      </c>
      <c r="L3" s="93" t="s">
        <v>107</v>
      </c>
      <c r="M3" s="94" t="s">
        <v>107</v>
      </c>
    </row>
    <row r="4" spans="1:13" x14ac:dyDescent="0.3">
      <c r="A4" s="90">
        <v>1872</v>
      </c>
      <c r="B4" s="91" t="s">
        <v>107</v>
      </c>
      <c r="C4" s="92" t="s">
        <v>107</v>
      </c>
      <c r="D4" s="93" t="s">
        <v>107</v>
      </c>
      <c r="E4" s="94" t="s">
        <v>107</v>
      </c>
      <c r="F4" s="93" t="s">
        <v>107</v>
      </c>
      <c r="G4" s="94" t="s">
        <v>107</v>
      </c>
      <c r="H4" s="93" t="s">
        <v>107</v>
      </c>
      <c r="I4" s="94" t="s">
        <v>107</v>
      </c>
      <c r="J4" s="93" t="s">
        <v>107</v>
      </c>
      <c r="K4" s="94" t="s">
        <v>107</v>
      </c>
      <c r="L4" s="93" t="s">
        <v>107</v>
      </c>
      <c r="M4" s="94" t="s">
        <v>107</v>
      </c>
    </row>
    <row r="5" spans="1:13" x14ac:dyDescent="0.3">
      <c r="A5" s="90">
        <v>1873</v>
      </c>
      <c r="B5" s="91" t="s">
        <v>107</v>
      </c>
      <c r="C5" s="92" t="s">
        <v>107</v>
      </c>
      <c r="D5" s="93" t="s">
        <v>107</v>
      </c>
      <c r="E5" s="94" t="s">
        <v>107</v>
      </c>
      <c r="F5" s="93" t="s">
        <v>107</v>
      </c>
      <c r="G5" s="94" t="s">
        <v>107</v>
      </c>
      <c r="H5" s="93" t="s">
        <v>107</v>
      </c>
      <c r="I5" s="94" t="s">
        <v>107</v>
      </c>
      <c r="J5" s="93" t="s">
        <v>107</v>
      </c>
      <c r="K5" s="94" t="s">
        <v>107</v>
      </c>
      <c r="L5" s="93" t="s">
        <v>107</v>
      </c>
      <c r="M5" s="94" t="s">
        <v>107</v>
      </c>
    </row>
    <row r="6" spans="1:13" x14ac:dyDescent="0.3">
      <c r="A6" s="90">
        <v>1874</v>
      </c>
      <c r="B6" s="91" t="s">
        <v>107</v>
      </c>
      <c r="C6" s="92" t="s">
        <v>107</v>
      </c>
      <c r="D6" s="93" t="s">
        <v>107</v>
      </c>
      <c r="E6" s="94" t="s">
        <v>107</v>
      </c>
      <c r="F6" s="93" t="s">
        <v>107</v>
      </c>
      <c r="G6" s="94" t="s">
        <v>107</v>
      </c>
      <c r="H6" s="93" t="s">
        <v>107</v>
      </c>
      <c r="I6" s="94" t="s">
        <v>107</v>
      </c>
      <c r="J6" s="93" t="s">
        <v>107</v>
      </c>
      <c r="K6" s="94" t="s">
        <v>107</v>
      </c>
      <c r="L6" s="93" t="s">
        <v>107</v>
      </c>
      <c r="M6" s="94" t="s">
        <v>107</v>
      </c>
    </row>
    <row r="7" spans="1:13" x14ac:dyDescent="0.3">
      <c r="A7" s="90">
        <v>1875</v>
      </c>
      <c r="B7" s="91" t="s">
        <v>107</v>
      </c>
      <c r="C7" s="92" t="s">
        <v>107</v>
      </c>
      <c r="D7" s="93" t="s">
        <v>107</v>
      </c>
      <c r="E7" s="94" t="s">
        <v>107</v>
      </c>
      <c r="F7" s="93" t="s">
        <v>107</v>
      </c>
      <c r="G7" s="94" t="s">
        <v>107</v>
      </c>
      <c r="H7" s="93" t="s">
        <v>107</v>
      </c>
      <c r="I7" s="94" t="s">
        <v>107</v>
      </c>
      <c r="J7" s="93" t="s">
        <v>107</v>
      </c>
      <c r="K7" s="94" t="s">
        <v>107</v>
      </c>
      <c r="L7" s="93" t="s">
        <v>107</v>
      </c>
      <c r="M7" s="94" t="s">
        <v>107</v>
      </c>
    </row>
    <row r="8" spans="1:13" x14ac:dyDescent="0.3">
      <c r="A8" s="90">
        <v>1876</v>
      </c>
      <c r="B8" s="91" t="s">
        <v>107</v>
      </c>
      <c r="C8" s="92" t="s">
        <v>107</v>
      </c>
      <c r="D8" s="93" t="s">
        <v>107</v>
      </c>
      <c r="E8" s="94" t="s">
        <v>107</v>
      </c>
      <c r="F8" s="93" t="s">
        <v>107</v>
      </c>
      <c r="G8" s="94" t="s">
        <v>107</v>
      </c>
      <c r="H8" s="93" t="s">
        <v>107</v>
      </c>
      <c r="I8" s="94" t="s">
        <v>107</v>
      </c>
      <c r="J8" s="93" t="s">
        <v>107</v>
      </c>
      <c r="K8" s="94" t="s">
        <v>107</v>
      </c>
      <c r="L8" s="93" t="s">
        <v>107</v>
      </c>
      <c r="M8" s="94" t="s">
        <v>107</v>
      </c>
    </row>
    <row r="9" spans="1:13" x14ac:dyDescent="0.3">
      <c r="A9" s="90">
        <v>1877</v>
      </c>
      <c r="B9" s="91" t="s">
        <v>107</v>
      </c>
      <c r="C9" s="92" t="s">
        <v>107</v>
      </c>
      <c r="D9" s="93" t="s">
        <v>107</v>
      </c>
      <c r="E9" s="94" t="s">
        <v>107</v>
      </c>
      <c r="F9" s="93" t="s">
        <v>107</v>
      </c>
      <c r="G9" s="94" t="s">
        <v>107</v>
      </c>
      <c r="H9" s="93" t="s">
        <v>107</v>
      </c>
      <c r="I9" s="94" t="s">
        <v>107</v>
      </c>
      <c r="J9" s="93" t="s">
        <v>107</v>
      </c>
      <c r="K9" s="94" t="s">
        <v>107</v>
      </c>
      <c r="L9" s="93" t="s">
        <v>107</v>
      </c>
      <c r="M9" s="94" t="s">
        <v>107</v>
      </c>
    </row>
    <row r="10" spans="1:13" x14ac:dyDescent="0.3">
      <c r="A10" s="90">
        <v>1878</v>
      </c>
      <c r="B10" s="91" t="s">
        <v>107</v>
      </c>
      <c r="C10" s="92" t="s">
        <v>107</v>
      </c>
      <c r="D10" s="93" t="s">
        <v>107</v>
      </c>
      <c r="E10" s="94" t="s">
        <v>107</v>
      </c>
      <c r="F10" s="93" t="s">
        <v>107</v>
      </c>
      <c r="G10" s="94" t="s">
        <v>107</v>
      </c>
      <c r="H10" s="93" t="s">
        <v>107</v>
      </c>
      <c r="I10" s="94" t="s">
        <v>107</v>
      </c>
      <c r="J10" s="93" t="s">
        <v>107</v>
      </c>
      <c r="K10" s="94" t="s">
        <v>107</v>
      </c>
      <c r="L10" s="93" t="s">
        <v>107</v>
      </c>
      <c r="M10" s="94" t="s">
        <v>107</v>
      </c>
    </row>
    <row r="11" spans="1:13" x14ac:dyDescent="0.3">
      <c r="A11" s="90">
        <v>1879</v>
      </c>
      <c r="B11" s="91" t="s">
        <v>107</v>
      </c>
      <c r="C11" s="92" t="s">
        <v>107</v>
      </c>
      <c r="D11" s="93" t="s">
        <v>107</v>
      </c>
      <c r="E11" s="94" t="s">
        <v>107</v>
      </c>
      <c r="F11" s="93" t="s">
        <v>107</v>
      </c>
      <c r="G11" s="94" t="s">
        <v>107</v>
      </c>
      <c r="H11" s="93" t="s">
        <v>107</v>
      </c>
      <c r="I11" s="94" t="s">
        <v>107</v>
      </c>
      <c r="J11" s="93" t="s">
        <v>107</v>
      </c>
      <c r="K11" s="94" t="s">
        <v>107</v>
      </c>
      <c r="L11" s="93" t="s">
        <v>107</v>
      </c>
      <c r="M11" s="94" t="s">
        <v>107</v>
      </c>
    </row>
    <row r="12" spans="1:13" x14ac:dyDescent="0.3">
      <c r="A12" s="90">
        <v>1880</v>
      </c>
      <c r="B12" s="91" t="s">
        <v>107</v>
      </c>
      <c r="C12" s="92" t="s">
        <v>107</v>
      </c>
      <c r="D12" s="93" t="s">
        <v>107</v>
      </c>
      <c r="E12" s="94" t="s">
        <v>107</v>
      </c>
      <c r="F12" s="93" t="s">
        <v>107</v>
      </c>
      <c r="G12" s="94" t="s">
        <v>107</v>
      </c>
      <c r="H12" s="93" t="s">
        <v>107</v>
      </c>
      <c r="I12" s="94" t="s">
        <v>107</v>
      </c>
      <c r="J12" s="93" t="s">
        <v>107</v>
      </c>
      <c r="K12" s="94" t="s">
        <v>107</v>
      </c>
      <c r="L12" s="93" t="s">
        <v>107</v>
      </c>
      <c r="M12" s="94" t="s">
        <v>107</v>
      </c>
    </row>
    <row r="13" spans="1:13" x14ac:dyDescent="0.3">
      <c r="A13" s="90">
        <v>1881</v>
      </c>
      <c r="B13" s="91" t="s">
        <v>107</v>
      </c>
      <c r="C13" s="92" t="s">
        <v>107</v>
      </c>
      <c r="D13" s="93" t="s">
        <v>107</v>
      </c>
      <c r="E13" s="94" t="s">
        <v>107</v>
      </c>
      <c r="F13" s="93" t="s">
        <v>107</v>
      </c>
      <c r="G13" s="94" t="s">
        <v>107</v>
      </c>
      <c r="H13" s="93" t="s">
        <v>107</v>
      </c>
      <c r="I13" s="94" t="s">
        <v>107</v>
      </c>
      <c r="J13" s="93" t="s">
        <v>107</v>
      </c>
      <c r="K13" s="94" t="s">
        <v>107</v>
      </c>
      <c r="L13" s="93" t="s">
        <v>107</v>
      </c>
      <c r="M13" s="94" t="s">
        <v>107</v>
      </c>
    </row>
    <row r="14" spans="1:13" x14ac:dyDescent="0.3">
      <c r="A14" s="90">
        <v>1882</v>
      </c>
      <c r="B14" s="91" t="s">
        <v>107</v>
      </c>
      <c r="C14" s="92" t="s">
        <v>107</v>
      </c>
      <c r="D14" s="93" t="s">
        <v>107</v>
      </c>
      <c r="E14" s="94" t="s">
        <v>107</v>
      </c>
      <c r="F14" s="93" t="s">
        <v>107</v>
      </c>
      <c r="G14" s="94" t="s">
        <v>107</v>
      </c>
      <c r="H14" s="93" t="s">
        <v>107</v>
      </c>
      <c r="I14" s="94" t="s">
        <v>107</v>
      </c>
      <c r="J14" s="93" t="s">
        <v>107</v>
      </c>
      <c r="K14" s="94" t="s">
        <v>107</v>
      </c>
      <c r="L14" s="93" t="s">
        <v>107</v>
      </c>
      <c r="M14" s="94" t="s">
        <v>107</v>
      </c>
    </row>
    <row r="15" spans="1:13" x14ac:dyDescent="0.3">
      <c r="A15" s="90">
        <v>1883</v>
      </c>
      <c r="B15" s="91" t="s">
        <v>107</v>
      </c>
      <c r="C15" s="92" t="s">
        <v>107</v>
      </c>
      <c r="D15" s="93" t="s">
        <v>107</v>
      </c>
      <c r="E15" s="94" t="s">
        <v>107</v>
      </c>
      <c r="F15" s="93" t="s">
        <v>107</v>
      </c>
      <c r="G15" s="94" t="s">
        <v>107</v>
      </c>
      <c r="H15" s="93" t="s">
        <v>107</v>
      </c>
      <c r="I15" s="94" t="s">
        <v>107</v>
      </c>
      <c r="J15" s="93" t="s">
        <v>107</v>
      </c>
      <c r="K15" s="94" t="s">
        <v>107</v>
      </c>
      <c r="L15" s="93" t="s">
        <v>107</v>
      </c>
      <c r="M15" s="94" t="s">
        <v>107</v>
      </c>
    </row>
    <row r="16" spans="1:13" x14ac:dyDescent="0.3">
      <c r="A16" s="90">
        <v>1884</v>
      </c>
      <c r="B16" s="91">
        <v>4.3E-3</v>
      </c>
      <c r="C16" s="92">
        <v>4.3E-3</v>
      </c>
      <c r="D16" s="93">
        <f>SUM($B16)*502</f>
        <v>2.1585999999999999</v>
      </c>
      <c r="E16" s="94">
        <f>SUM($B16)*502*5</f>
        <v>10.792999999999999</v>
      </c>
      <c r="F16" s="93">
        <f>SUM($B16)*502*4</f>
        <v>8.6343999999999994</v>
      </c>
      <c r="G16" s="94">
        <f>SUM($B16)*502*3</f>
        <v>6.4757999999999996</v>
      </c>
      <c r="H16" s="93">
        <f>SUM($B16)*502*2</f>
        <v>4.3171999999999997</v>
      </c>
      <c r="I16" s="94">
        <f>SUM($B16)*502</f>
        <v>2.1585999999999999</v>
      </c>
      <c r="J16" s="93">
        <f>SUM($B16)*502*0.5</f>
        <v>1.0792999999999999</v>
      </c>
      <c r="K16" s="94">
        <f>SUM($B16)*502*0.333</f>
        <v>0.71881379999999995</v>
      </c>
      <c r="L16" s="93">
        <f>SUM($B16)*502*0.25</f>
        <v>0.53964999999999996</v>
      </c>
      <c r="M16" s="94">
        <f>SUM($B16)*502*0.2</f>
        <v>0.43171999999999999</v>
      </c>
    </row>
    <row r="17" spans="1:13" x14ac:dyDescent="0.3">
      <c r="A17" s="90">
        <v>1885</v>
      </c>
      <c r="B17" s="91">
        <v>5.3E-3</v>
      </c>
      <c r="C17" s="92">
        <v>5.3E-3</v>
      </c>
      <c r="D17" s="93">
        <f t="shared" ref="D17:D80" si="0">SUM($B17)*502</f>
        <v>2.6606000000000001</v>
      </c>
      <c r="E17" s="94">
        <f t="shared" ref="E17:E80" si="1">SUM($B17)*502*5</f>
        <v>13.303000000000001</v>
      </c>
      <c r="F17" s="93">
        <f t="shared" ref="F17:F80" si="2">SUM($B17)*502*4</f>
        <v>10.6424</v>
      </c>
      <c r="G17" s="94">
        <f t="shared" ref="G17:G80" si="3">SUM($B17)*502*3</f>
        <v>7.9817999999999998</v>
      </c>
      <c r="H17" s="93">
        <f t="shared" ref="H17:H80" si="4">SUM($B17)*502*2</f>
        <v>5.3212000000000002</v>
      </c>
      <c r="I17" s="94">
        <f t="shared" ref="I17:I80" si="5">SUM($B17)*502</f>
        <v>2.6606000000000001</v>
      </c>
      <c r="J17" s="93">
        <f t="shared" ref="J17:J80" si="6">SUM($B17)*502*0.5</f>
        <v>1.3303</v>
      </c>
      <c r="K17" s="94">
        <f t="shared" ref="K17:K80" si="7">SUM($B17)*502*0.333</f>
        <v>0.8859798000000001</v>
      </c>
      <c r="L17" s="93">
        <f t="shared" ref="L17:L80" si="8">SUM($B17)*502*0.25</f>
        <v>0.66515000000000002</v>
      </c>
      <c r="M17" s="94">
        <f t="shared" ref="M17:M80" si="9">SUM($B17)*502*0.2</f>
        <v>0.53212000000000004</v>
      </c>
    </row>
    <row r="18" spans="1:13" x14ac:dyDescent="0.3">
      <c r="A18" s="90">
        <v>1886</v>
      </c>
      <c r="B18" s="91">
        <v>4.1999999999999997E-3</v>
      </c>
      <c r="C18" s="92">
        <v>4.1999999999999997E-3</v>
      </c>
      <c r="D18" s="93">
        <f t="shared" si="0"/>
        <v>2.1084000000000001</v>
      </c>
      <c r="E18" s="94">
        <f t="shared" si="1"/>
        <v>10.542</v>
      </c>
      <c r="F18" s="93">
        <f t="shared" si="2"/>
        <v>8.4336000000000002</v>
      </c>
      <c r="G18" s="94">
        <f t="shared" si="3"/>
        <v>6.3252000000000006</v>
      </c>
      <c r="H18" s="93">
        <f t="shared" si="4"/>
        <v>4.2168000000000001</v>
      </c>
      <c r="I18" s="94">
        <f t="shared" si="5"/>
        <v>2.1084000000000001</v>
      </c>
      <c r="J18" s="93">
        <f t="shared" si="6"/>
        <v>1.0542</v>
      </c>
      <c r="K18" s="94">
        <f t="shared" si="7"/>
        <v>0.70209720000000009</v>
      </c>
      <c r="L18" s="93">
        <f t="shared" si="8"/>
        <v>0.52710000000000001</v>
      </c>
      <c r="M18" s="94">
        <f t="shared" si="9"/>
        <v>0.42168000000000005</v>
      </c>
    </row>
    <row r="19" spans="1:13" x14ac:dyDescent="0.3">
      <c r="A19" s="90">
        <v>1887</v>
      </c>
      <c r="B19" s="91">
        <v>0.01</v>
      </c>
      <c r="C19" s="92">
        <v>0.01</v>
      </c>
      <c r="D19" s="93">
        <f t="shared" si="0"/>
        <v>5.0200000000000005</v>
      </c>
      <c r="E19" s="94">
        <f t="shared" si="1"/>
        <v>25.1</v>
      </c>
      <c r="F19" s="93">
        <f t="shared" si="2"/>
        <v>20.080000000000002</v>
      </c>
      <c r="G19" s="94">
        <f t="shared" si="3"/>
        <v>15.060000000000002</v>
      </c>
      <c r="H19" s="93">
        <f t="shared" si="4"/>
        <v>10.040000000000001</v>
      </c>
      <c r="I19" s="94">
        <f t="shared" si="5"/>
        <v>5.0200000000000005</v>
      </c>
      <c r="J19" s="93">
        <f t="shared" si="6"/>
        <v>2.5100000000000002</v>
      </c>
      <c r="K19" s="94">
        <f t="shared" si="7"/>
        <v>1.6716600000000001</v>
      </c>
      <c r="L19" s="93">
        <f t="shared" si="8"/>
        <v>1.2550000000000001</v>
      </c>
      <c r="M19" s="94">
        <f t="shared" si="9"/>
        <v>1.0040000000000002</v>
      </c>
    </row>
    <row r="20" spans="1:13" x14ac:dyDescent="0.3">
      <c r="A20" s="90">
        <v>1888</v>
      </c>
      <c r="B20" s="91">
        <v>1.09E-2</v>
      </c>
      <c r="C20" s="92">
        <v>1.09E-2</v>
      </c>
      <c r="D20" s="93">
        <f t="shared" si="0"/>
        <v>5.4718</v>
      </c>
      <c r="E20" s="94">
        <f t="shared" si="1"/>
        <v>27.359000000000002</v>
      </c>
      <c r="F20" s="93">
        <f t="shared" si="2"/>
        <v>21.8872</v>
      </c>
      <c r="G20" s="94">
        <f t="shared" si="3"/>
        <v>16.415399999999998</v>
      </c>
      <c r="H20" s="93">
        <f t="shared" si="4"/>
        <v>10.9436</v>
      </c>
      <c r="I20" s="94">
        <f t="shared" si="5"/>
        <v>5.4718</v>
      </c>
      <c r="J20" s="93">
        <f t="shared" si="6"/>
        <v>2.7359</v>
      </c>
      <c r="K20" s="94">
        <f t="shared" si="7"/>
        <v>1.8221094</v>
      </c>
      <c r="L20" s="93">
        <f t="shared" si="8"/>
        <v>1.36795</v>
      </c>
      <c r="M20" s="94">
        <f t="shared" si="9"/>
        <v>1.09436</v>
      </c>
    </row>
    <row r="21" spans="1:13" x14ac:dyDescent="0.3">
      <c r="A21" s="90">
        <v>1889</v>
      </c>
      <c r="B21" s="91">
        <v>9.9000000000000008E-3</v>
      </c>
      <c r="C21" s="92">
        <v>9.9000000000000008E-3</v>
      </c>
      <c r="D21" s="93">
        <f t="shared" si="0"/>
        <v>4.9698000000000002</v>
      </c>
      <c r="E21" s="94">
        <f t="shared" si="1"/>
        <v>24.849</v>
      </c>
      <c r="F21" s="93">
        <f t="shared" si="2"/>
        <v>19.879200000000001</v>
      </c>
      <c r="G21" s="94">
        <f t="shared" si="3"/>
        <v>14.909400000000002</v>
      </c>
      <c r="H21" s="93">
        <f t="shared" si="4"/>
        <v>9.9396000000000004</v>
      </c>
      <c r="I21" s="94">
        <f t="shared" si="5"/>
        <v>4.9698000000000002</v>
      </c>
      <c r="J21" s="93">
        <f t="shared" si="6"/>
        <v>2.4849000000000001</v>
      </c>
      <c r="K21" s="94">
        <f t="shared" si="7"/>
        <v>1.6549434000000001</v>
      </c>
      <c r="L21" s="93">
        <f t="shared" si="8"/>
        <v>1.2424500000000001</v>
      </c>
      <c r="M21" s="94">
        <f t="shared" si="9"/>
        <v>0.99396000000000007</v>
      </c>
    </row>
    <row r="22" spans="1:13" x14ac:dyDescent="0.3">
      <c r="A22" s="90">
        <v>1890</v>
      </c>
      <c r="B22" s="91">
        <v>1.1900000000000001E-2</v>
      </c>
      <c r="C22" s="92">
        <v>1.1900000000000001E-2</v>
      </c>
      <c r="D22" s="93">
        <f t="shared" si="0"/>
        <v>5.9738000000000007</v>
      </c>
      <c r="E22" s="94">
        <f t="shared" si="1"/>
        <v>29.869000000000003</v>
      </c>
      <c r="F22" s="93">
        <f t="shared" si="2"/>
        <v>23.895200000000003</v>
      </c>
      <c r="G22" s="94">
        <f t="shared" si="3"/>
        <v>17.921400000000002</v>
      </c>
      <c r="H22" s="93">
        <f t="shared" si="4"/>
        <v>11.947600000000001</v>
      </c>
      <c r="I22" s="94">
        <f t="shared" si="5"/>
        <v>5.9738000000000007</v>
      </c>
      <c r="J22" s="93">
        <f t="shared" si="6"/>
        <v>2.9869000000000003</v>
      </c>
      <c r="K22" s="94">
        <f t="shared" si="7"/>
        <v>1.9892754000000004</v>
      </c>
      <c r="L22" s="93">
        <f t="shared" si="8"/>
        <v>1.4934500000000002</v>
      </c>
      <c r="M22" s="94">
        <f t="shared" si="9"/>
        <v>1.1947600000000003</v>
      </c>
    </row>
    <row r="23" spans="1:13" x14ac:dyDescent="0.3">
      <c r="A23" s="90">
        <v>1891</v>
      </c>
      <c r="B23" s="91">
        <v>1.2699999999999999E-2</v>
      </c>
      <c r="C23" s="92">
        <v>1.2699999999999999E-2</v>
      </c>
      <c r="D23" s="93">
        <f t="shared" si="0"/>
        <v>6.3754</v>
      </c>
      <c r="E23" s="94">
        <f t="shared" si="1"/>
        <v>31.876999999999999</v>
      </c>
      <c r="F23" s="93">
        <f t="shared" si="2"/>
        <v>25.5016</v>
      </c>
      <c r="G23" s="94">
        <f t="shared" si="3"/>
        <v>19.126200000000001</v>
      </c>
      <c r="H23" s="93">
        <f t="shared" si="4"/>
        <v>12.7508</v>
      </c>
      <c r="I23" s="94">
        <f t="shared" si="5"/>
        <v>6.3754</v>
      </c>
      <c r="J23" s="93">
        <f t="shared" si="6"/>
        <v>3.1877</v>
      </c>
      <c r="K23" s="94">
        <f t="shared" si="7"/>
        <v>2.1230082000000001</v>
      </c>
      <c r="L23" s="93">
        <f t="shared" si="8"/>
        <v>1.59385</v>
      </c>
      <c r="M23" s="94">
        <f t="shared" si="9"/>
        <v>1.27508</v>
      </c>
    </row>
    <row r="24" spans="1:13" x14ac:dyDescent="0.3">
      <c r="A24" s="90">
        <v>1892</v>
      </c>
      <c r="B24" s="91">
        <v>8.8000000000000005E-3</v>
      </c>
      <c r="C24" s="92">
        <v>8.8000000000000005E-3</v>
      </c>
      <c r="D24" s="93">
        <f t="shared" si="0"/>
        <v>4.4176000000000002</v>
      </c>
      <c r="E24" s="94">
        <f t="shared" si="1"/>
        <v>22.088000000000001</v>
      </c>
      <c r="F24" s="93">
        <f t="shared" si="2"/>
        <v>17.670400000000001</v>
      </c>
      <c r="G24" s="94">
        <f t="shared" si="3"/>
        <v>13.252800000000001</v>
      </c>
      <c r="H24" s="93">
        <f t="shared" si="4"/>
        <v>8.8352000000000004</v>
      </c>
      <c r="I24" s="94">
        <f t="shared" si="5"/>
        <v>4.4176000000000002</v>
      </c>
      <c r="J24" s="93">
        <f t="shared" si="6"/>
        <v>2.2088000000000001</v>
      </c>
      <c r="K24" s="94">
        <f t="shared" si="7"/>
        <v>1.4710608000000001</v>
      </c>
      <c r="L24" s="93">
        <f t="shared" si="8"/>
        <v>1.1044</v>
      </c>
      <c r="M24" s="94">
        <f t="shared" si="9"/>
        <v>0.88352000000000008</v>
      </c>
    </row>
    <row r="25" spans="1:13" x14ac:dyDescent="0.3">
      <c r="A25" s="90">
        <v>1893</v>
      </c>
      <c r="B25" s="91">
        <v>1.12E-2</v>
      </c>
      <c r="C25" s="92">
        <v>1.12E-2</v>
      </c>
      <c r="D25" s="93">
        <f t="shared" si="0"/>
        <v>5.6223999999999998</v>
      </c>
      <c r="E25" s="94">
        <f t="shared" si="1"/>
        <v>28.111999999999998</v>
      </c>
      <c r="F25" s="93">
        <f t="shared" si="2"/>
        <v>22.489599999999999</v>
      </c>
      <c r="G25" s="94">
        <f t="shared" si="3"/>
        <v>16.8672</v>
      </c>
      <c r="H25" s="93">
        <f t="shared" si="4"/>
        <v>11.2448</v>
      </c>
      <c r="I25" s="94">
        <f t="shared" si="5"/>
        <v>5.6223999999999998</v>
      </c>
      <c r="J25" s="93">
        <f t="shared" si="6"/>
        <v>2.8111999999999999</v>
      </c>
      <c r="K25" s="94">
        <f t="shared" si="7"/>
        <v>1.8722592</v>
      </c>
      <c r="L25" s="93">
        <f t="shared" si="8"/>
        <v>1.4056</v>
      </c>
      <c r="M25" s="94">
        <f t="shared" si="9"/>
        <v>1.1244799999999999</v>
      </c>
    </row>
    <row r="26" spans="1:13" x14ac:dyDescent="0.3">
      <c r="A26" s="90">
        <v>1894</v>
      </c>
      <c r="B26" s="91">
        <v>1.0500000000000001E-2</v>
      </c>
      <c r="C26" s="92">
        <v>1.0500000000000001E-2</v>
      </c>
      <c r="D26" s="93">
        <f t="shared" si="0"/>
        <v>5.2709999999999999</v>
      </c>
      <c r="E26" s="94">
        <f t="shared" si="1"/>
        <v>26.355</v>
      </c>
      <c r="F26" s="93">
        <f t="shared" si="2"/>
        <v>21.084</v>
      </c>
      <c r="G26" s="94">
        <f t="shared" si="3"/>
        <v>15.812999999999999</v>
      </c>
      <c r="H26" s="93">
        <f t="shared" si="4"/>
        <v>10.542</v>
      </c>
      <c r="I26" s="94">
        <f t="shared" si="5"/>
        <v>5.2709999999999999</v>
      </c>
      <c r="J26" s="93">
        <f t="shared" si="6"/>
        <v>2.6355</v>
      </c>
      <c r="K26" s="94">
        <f t="shared" si="7"/>
        <v>1.7552430000000001</v>
      </c>
      <c r="L26" s="93">
        <f t="shared" si="8"/>
        <v>1.31775</v>
      </c>
      <c r="M26" s="94">
        <f t="shared" si="9"/>
        <v>1.0542</v>
      </c>
    </row>
    <row r="27" spans="1:13" x14ac:dyDescent="0.3">
      <c r="A27" s="90">
        <v>1895</v>
      </c>
      <c r="B27" s="91">
        <v>1.18E-2</v>
      </c>
      <c r="C27" s="92">
        <v>1.18E-2</v>
      </c>
      <c r="D27" s="93">
        <f t="shared" si="0"/>
        <v>5.9235999999999995</v>
      </c>
      <c r="E27" s="94">
        <f t="shared" si="1"/>
        <v>29.617999999999999</v>
      </c>
      <c r="F27" s="93">
        <f t="shared" si="2"/>
        <v>23.694399999999998</v>
      </c>
      <c r="G27" s="94">
        <f t="shared" si="3"/>
        <v>17.770799999999998</v>
      </c>
      <c r="H27" s="93">
        <f t="shared" si="4"/>
        <v>11.847199999999999</v>
      </c>
      <c r="I27" s="94">
        <f t="shared" si="5"/>
        <v>5.9235999999999995</v>
      </c>
      <c r="J27" s="93">
        <f t="shared" si="6"/>
        <v>2.9617999999999998</v>
      </c>
      <c r="K27" s="94">
        <f t="shared" si="7"/>
        <v>1.9725588000000001</v>
      </c>
      <c r="L27" s="93">
        <f t="shared" si="8"/>
        <v>1.4808999999999999</v>
      </c>
      <c r="M27" s="94">
        <f t="shared" si="9"/>
        <v>1.18472</v>
      </c>
    </row>
    <row r="28" spans="1:13" x14ac:dyDescent="0.3">
      <c r="A28" s="90">
        <v>1896</v>
      </c>
      <c r="B28" s="91">
        <v>1.14E-2</v>
      </c>
      <c r="C28" s="92">
        <v>1.14E-2</v>
      </c>
      <c r="D28" s="93">
        <f t="shared" si="0"/>
        <v>5.7228000000000003</v>
      </c>
      <c r="E28" s="94">
        <f t="shared" si="1"/>
        <v>28.614000000000001</v>
      </c>
      <c r="F28" s="93">
        <f t="shared" si="2"/>
        <v>22.891200000000001</v>
      </c>
      <c r="G28" s="94">
        <f t="shared" si="3"/>
        <v>17.168400000000002</v>
      </c>
      <c r="H28" s="93">
        <f t="shared" si="4"/>
        <v>11.445600000000001</v>
      </c>
      <c r="I28" s="94">
        <f t="shared" si="5"/>
        <v>5.7228000000000003</v>
      </c>
      <c r="J28" s="93">
        <f t="shared" si="6"/>
        <v>2.8614000000000002</v>
      </c>
      <c r="K28" s="94">
        <f t="shared" si="7"/>
        <v>1.9056924000000002</v>
      </c>
      <c r="L28" s="93">
        <f t="shared" si="8"/>
        <v>1.4307000000000001</v>
      </c>
      <c r="M28" s="94">
        <f t="shared" si="9"/>
        <v>1.14456</v>
      </c>
    </row>
    <row r="29" spans="1:13" x14ac:dyDescent="0.3">
      <c r="A29" s="90">
        <v>1897</v>
      </c>
      <c r="B29" s="91">
        <v>1.32E-2</v>
      </c>
      <c r="C29" s="92">
        <v>1.32E-2</v>
      </c>
      <c r="D29" s="93">
        <f t="shared" si="0"/>
        <v>6.6264000000000003</v>
      </c>
      <c r="E29" s="94">
        <f t="shared" si="1"/>
        <v>33.132000000000005</v>
      </c>
      <c r="F29" s="93">
        <f t="shared" si="2"/>
        <v>26.505600000000001</v>
      </c>
      <c r="G29" s="94">
        <f t="shared" si="3"/>
        <v>19.879200000000001</v>
      </c>
      <c r="H29" s="93">
        <f t="shared" si="4"/>
        <v>13.252800000000001</v>
      </c>
      <c r="I29" s="94">
        <f t="shared" si="5"/>
        <v>6.6264000000000003</v>
      </c>
      <c r="J29" s="93">
        <f t="shared" si="6"/>
        <v>3.3132000000000001</v>
      </c>
      <c r="K29" s="94">
        <f t="shared" si="7"/>
        <v>2.2065912000000001</v>
      </c>
      <c r="L29" s="93">
        <f t="shared" si="8"/>
        <v>1.6566000000000001</v>
      </c>
      <c r="M29" s="94">
        <f t="shared" si="9"/>
        <v>1.3252800000000002</v>
      </c>
    </row>
    <row r="30" spans="1:13" x14ac:dyDescent="0.3">
      <c r="A30" s="90">
        <v>1898</v>
      </c>
      <c r="B30" s="91">
        <v>1.38E-2</v>
      </c>
      <c r="C30" s="92">
        <v>1.38E-2</v>
      </c>
      <c r="D30" s="93">
        <f t="shared" si="0"/>
        <v>6.9276</v>
      </c>
      <c r="E30" s="94">
        <f t="shared" si="1"/>
        <v>34.637999999999998</v>
      </c>
      <c r="F30" s="93">
        <f t="shared" si="2"/>
        <v>27.7104</v>
      </c>
      <c r="G30" s="94">
        <f t="shared" si="3"/>
        <v>20.782800000000002</v>
      </c>
      <c r="H30" s="93">
        <f t="shared" si="4"/>
        <v>13.8552</v>
      </c>
      <c r="I30" s="94">
        <f t="shared" si="5"/>
        <v>6.9276</v>
      </c>
      <c r="J30" s="93">
        <f t="shared" si="6"/>
        <v>3.4638</v>
      </c>
      <c r="K30" s="94">
        <f t="shared" si="7"/>
        <v>2.3068908000000001</v>
      </c>
      <c r="L30" s="93">
        <f t="shared" si="8"/>
        <v>1.7319</v>
      </c>
      <c r="M30" s="94">
        <f t="shared" si="9"/>
        <v>1.3855200000000001</v>
      </c>
    </row>
    <row r="31" spans="1:13" x14ac:dyDescent="0.3">
      <c r="A31" s="90">
        <v>1899</v>
      </c>
      <c r="B31" s="91">
        <v>1.38E-2</v>
      </c>
      <c r="C31" s="92">
        <v>1.38E-2</v>
      </c>
      <c r="D31" s="93">
        <f t="shared" si="0"/>
        <v>6.9276</v>
      </c>
      <c r="E31" s="94">
        <f t="shared" si="1"/>
        <v>34.637999999999998</v>
      </c>
      <c r="F31" s="93">
        <f t="shared" si="2"/>
        <v>27.7104</v>
      </c>
      <c r="G31" s="94">
        <f t="shared" si="3"/>
        <v>20.782800000000002</v>
      </c>
      <c r="H31" s="93">
        <f t="shared" si="4"/>
        <v>13.8552</v>
      </c>
      <c r="I31" s="94">
        <f t="shared" si="5"/>
        <v>6.9276</v>
      </c>
      <c r="J31" s="93">
        <f t="shared" si="6"/>
        <v>3.4638</v>
      </c>
      <c r="K31" s="94">
        <f t="shared" si="7"/>
        <v>2.3068908000000001</v>
      </c>
      <c r="L31" s="93">
        <f t="shared" si="8"/>
        <v>1.7319</v>
      </c>
      <c r="M31" s="94">
        <f t="shared" si="9"/>
        <v>1.3855200000000001</v>
      </c>
    </row>
    <row r="32" spans="1:13" x14ac:dyDescent="0.3">
      <c r="A32" s="90">
        <v>1900</v>
      </c>
      <c r="B32" s="91">
        <v>1.3100000000000001E-2</v>
      </c>
      <c r="C32" s="92">
        <v>1.3100000000000001E-2</v>
      </c>
      <c r="D32" s="93">
        <f t="shared" si="0"/>
        <v>6.5762</v>
      </c>
      <c r="E32" s="94">
        <f t="shared" si="1"/>
        <v>32.881</v>
      </c>
      <c r="F32" s="93">
        <f t="shared" si="2"/>
        <v>26.3048</v>
      </c>
      <c r="G32" s="94">
        <f t="shared" si="3"/>
        <v>19.7286</v>
      </c>
      <c r="H32" s="93">
        <f t="shared" si="4"/>
        <v>13.1524</v>
      </c>
      <c r="I32" s="94">
        <f t="shared" si="5"/>
        <v>6.5762</v>
      </c>
      <c r="J32" s="93">
        <f t="shared" si="6"/>
        <v>3.2881</v>
      </c>
      <c r="K32" s="94">
        <f t="shared" si="7"/>
        <v>2.1898746</v>
      </c>
      <c r="L32" s="93">
        <f t="shared" si="8"/>
        <v>1.64405</v>
      </c>
      <c r="M32" s="94">
        <f t="shared" si="9"/>
        <v>1.3152400000000002</v>
      </c>
    </row>
    <row r="33" spans="1:13" x14ac:dyDescent="0.3">
      <c r="A33" s="90">
        <v>1901</v>
      </c>
      <c r="B33" s="91">
        <v>1.0800000000000001E-2</v>
      </c>
      <c r="C33" s="92">
        <v>1.0800000000000001E-2</v>
      </c>
      <c r="D33" s="93">
        <f t="shared" si="0"/>
        <v>5.4216000000000006</v>
      </c>
      <c r="E33" s="94">
        <f t="shared" si="1"/>
        <v>27.108000000000004</v>
      </c>
      <c r="F33" s="93">
        <f t="shared" si="2"/>
        <v>21.686400000000003</v>
      </c>
      <c r="G33" s="94">
        <f t="shared" si="3"/>
        <v>16.264800000000001</v>
      </c>
      <c r="H33" s="93">
        <f t="shared" si="4"/>
        <v>10.843200000000001</v>
      </c>
      <c r="I33" s="94">
        <f t="shared" si="5"/>
        <v>5.4216000000000006</v>
      </c>
      <c r="J33" s="93">
        <f t="shared" si="6"/>
        <v>2.7108000000000003</v>
      </c>
      <c r="K33" s="94">
        <f t="shared" si="7"/>
        <v>1.8053928000000004</v>
      </c>
      <c r="L33" s="93">
        <f t="shared" si="8"/>
        <v>1.3554000000000002</v>
      </c>
      <c r="M33" s="94">
        <f t="shared" si="9"/>
        <v>1.0843200000000002</v>
      </c>
    </row>
    <row r="34" spans="1:13" x14ac:dyDescent="0.3">
      <c r="A34" s="90">
        <v>1902</v>
      </c>
      <c r="B34" s="91">
        <v>9.4000000000000004E-3</v>
      </c>
      <c r="C34" s="92">
        <v>9.4000000000000004E-3</v>
      </c>
      <c r="D34" s="93">
        <f t="shared" si="0"/>
        <v>4.7187999999999999</v>
      </c>
      <c r="E34" s="94">
        <f t="shared" si="1"/>
        <v>23.594000000000001</v>
      </c>
      <c r="F34" s="93">
        <f t="shared" si="2"/>
        <v>18.8752</v>
      </c>
      <c r="G34" s="94">
        <f t="shared" si="3"/>
        <v>14.1564</v>
      </c>
      <c r="H34" s="93">
        <f t="shared" si="4"/>
        <v>9.4375999999999998</v>
      </c>
      <c r="I34" s="94">
        <f t="shared" si="5"/>
        <v>4.7187999999999999</v>
      </c>
      <c r="J34" s="93">
        <f t="shared" si="6"/>
        <v>2.3593999999999999</v>
      </c>
      <c r="K34" s="94">
        <f t="shared" si="7"/>
        <v>1.5713604000000001</v>
      </c>
      <c r="L34" s="93">
        <f t="shared" si="8"/>
        <v>1.1797</v>
      </c>
      <c r="M34" s="94">
        <f t="shared" si="9"/>
        <v>0.94376000000000004</v>
      </c>
    </row>
    <row r="35" spans="1:13" x14ac:dyDescent="0.3">
      <c r="A35" s="90">
        <v>1903</v>
      </c>
      <c r="B35" s="91">
        <v>9.7000000000000003E-3</v>
      </c>
      <c r="C35" s="92">
        <v>9.7000000000000003E-3</v>
      </c>
      <c r="D35" s="93">
        <f t="shared" si="0"/>
        <v>4.8693999999999997</v>
      </c>
      <c r="E35" s="94">
        <f t="shared" si="1"/>
        <v>24.346999999999998</v>
      </c>
      <c r="F35" s="93">
        <f t="shared" si="2"/>
        <v>19.477599999999999</v>
      </c>
      <c r="G35" s="94">
        <f t="shared" si="3"/>
        <v>14.6082</v>
      </c>
      <c r="H35" s="93">
        <f t="shared" si="4"/>
        <v>9.7387999999999995</v>
      </c>
      <c r="I35" s="94">
        <f t="shared" si="5"/>
        <v>4.8693999999999997</v>
      </c>
      <c r="J35" s="93">
        <f t="shared" si="6"/>
        <v>2.4346999999999999</v>
      </c>
      <c r="K35" s="94">
        <f t="shared" si="7"/>
        <v>1.6215101999999999</v>
      </c>
      <c r="L35" s="93">
        <f t="shared" si="8"/>
        <v>1.2173499999999999</v>
      </c>
      <c r="M35" s="94">
        <f t="shared" si="9"/>
        <v>0.97387999999999997</v>
      </c>
    </row>
    <row r="36" spans="1:13" x14ac:dyDescent="0.3">
      <c r="A36" s="90">
        <v>1904</v>
      </c>
      <c r="B36" s="91">
        <v>9.4000000000000004E-3</v>
      </c>
      <c r="C36" s="92">
        <v>9.4000000000000004E-3</v>
      </c>
      <c r="D36" s="93">
        <f t="shared" si="0"/>
        <v>4.7187999999999999</v>
      </c>
      <c r="E36" s="94">
        <f t="shared" si="1"/>
        <v>23.594000000000001</v>
      </c>
      <c r="F36" s="93">
        <f t="shared" si="2"/>
        <v>18.8752</v>
      </c>
      <c r="G36" s="94">
        <f t="shared" si="3"/>
        <v>14.1564</v>
      </c>
      <c r="H36" s="93">
        <f t="shared" si="4"/>
        <v>9.4375999999999998</v>
      </c>
      <c r="I36" s="94">
        <f t="shared" si="5"/>
        <v>4.7187999999999999</v>
      </c>
      <c r="J36" s="93">
        <f t="shared" si="6"/>
        <v>2.3593999999999999</v>
      </c>
      <c r="K36" s="94">
        <f t="shared" si="7"/>
        <v>1.5713604000000001</v>
      </c>
      <c r="L36" s="93">
        <f t="shared" si="8"/>
        <v>1.1797</v>
      </c>
      <c r="M36" s="94">
        <f t="shared" si="9"/>
        <v>0.94376000000000004</v>
      </c>
    </row>
    <row r="37" spans="1:13" x14ac:dyDescent="0.3">
      <c r="A37" s="90">
        <v>1905</v>
      </c>
      <c r="B37" s="91">
        <v>0.01</v>
      </c>
      <c r="C37" s="92">
        <v>0.01</v>
      </c>
      <c r="D37" s="93">
        <f t="shared" si="0"/>
        <v>5.0200000000000005</v>
      </c>
      <c r="E37" s="94">
        <f t="shared" si="1"/>
        <v>25.1</v>
      </c>
      <c r="F37" s="93">
        <f t="shared" si="2"/>
        <v>20.080000000000002</v>
      </c>
      <c r="G37" s="94">
        <f t="shared" si="3"/>
        <v>15.060000000000002</v>
      </c>
      <c r="H37" s="93">
        <f t="shared" si="4"/>
        <v>10.040000000000001</v>
      </c>
      <c r="I37" s="94">
        <f t="shared" si="5"/>
        <v>5.0200000000000005</v>
      </c>
      <c r="J37" s="93">
        <f t="shared" si="6"/>
        <v>2.5100000000000002</v>
      </c>
      <c r="K37" s="94">
        <f t="shared" si="7"/>
        <v>1.6716600000000001</v>
      </c>
      <c r="L37" s="93">
        <f t="shared" si="8"/>
        <v>1.2550000000000001</v>
      </c>
      <c r="M37" s="94">
        <f t="shared" si="9"/>
        <v>1.0040000000000002</v>
      </c>
    </row>
    <row r="38" spans="1:13" x14ac:dyDescent="0.3">
      <c r="A38" s="90">
        <v>1906</v>
      </c>
      <c r="B38" s="91">
        <v>9.1000000000000004E-3</v>
      </c>
      <c r="C38" s="92">
        <v>9.1000000000000004E-3</v>
      </c>
      <c r="D38" s="93">
        <f t="shared" si="0"/>
        <v>4.5682</v>
      </c>
      <c r="E38" s="94">
        <f t="shared" si="1"/>
        <v>22.841000000000001</v>
      </c>
      <c r="F38" s="93">
        <f t="shared" si="2"/>
        <v>18.2728</v>
      </c>
      <c r="G38" s="94">
        <f t="shared" si="3"/>
        <v>13.704599999999999</v>
      </c>
      <c r="H38" s="93">
        <f t="shared" si="4"/>
        <v>9.1364000000000001</v>
      </c>
      <c r="I38" s="94">
        <f t="shared" si="5"/>
        <v>4.5682</v>
      </c>
      <c r="J38" s="93">
        <f t="shared" si="6"/>
        <v>2.2841</v>
      </c>
      <c r="K38" s="94">
        <f t="shared" si="7"/>
        <v>1.5212106000000001</v>
      </c>
      <c r="L38" s="93">
        <f t="shared" si="8"/>
        <v>1.14205</v>
      </c>
      <c r="M38" s="94">
        <f t="shared" si="9"/>
        <v>0.91364000000000001</v>
      </c>
    </row>
    <row r="39" spans="1:13" x14ac:dyDescent="0.3">
      <c r="A39" s="90">
        <v>1907</v>
      </c>
      <c r="B39" s="91">
        <v>9.1999999999999998E-3</v>
      </c>
      <c r="C39" s="92">
        <v>9.1999999999999998E-3</v>
      </c>
      <c r="D39" s="93">
        <f t="shared" si="0"/>
        <v>4.6184000000000003</v>
      </c>
      <c r="E39" s="94">
        <f t="shared" si="1"/>
        <v>23.092000000000002</v>
      </c>
      <c r="F39" s="93">
        <f t="shared" si="2"/>
        <v>18.473600000000001</v>
      </c>
      <c r="G39" s="94">
        <f t="shared" si="3"/>
        <v>13.8552</v>
      </c>
      <c r="H39" s="93">
        <f t="shared" si="4"/>
        <v>9.2368000000000006</v>
      </c>
      <c r="I39" s="94">
        <f t="shared" si="5"/>
        <v>4.6184000000000003</v>
      </c>
      <c r="J39" s="93">
        <f t="shared" si="6"/>
        <v>2.3092000000000001</v>
      </c>
      <c r="K39" s="94">
        <f t="shared" si="7"/>
        <v>1.5379272000000002</v>
      </c>
      <c r="L39" s="93">
        <f t="shared" si="8"/>
        <v>1.1546000000000001</v>
      </c>
      <c r="M39" s="94">
        <f t="shared" si="9"/>
        <v>0.92368000000000006</v>
      </c>
    </row>
    <row r="40" spans="1:13" x14ac:dyDescent="0.3">
      <c r="A40" s="90">
        <v>1908</v>
      </c>
      <c r="B40" s="91">
        <v>9.5999999999999992E-3</v>
      </c>
      <c r="C40" s="92">
        <v>9.5999999999999992E-3</v>
      </c>
      <c r="D40" s="93">
        <f t="shared" si="0"/>
        <v>4.8191999999999995</v>
      </c>
      <c r="E40" s="94">
        <f t="shared" si="1"/>
        <v>24.095999999999997</v>
      </c>
      <c r="F40" s="93">
        <f t="shared" si="2"/>
        <v>19.276799999999998</v>
      </c>
      <c r="G40" s="94">
        <f t="shared" si="3"/>
        <v>14.457599999999999</v>
      </c>
      <c r="H40" s="93">
        <f t="shared" si="4"/>
        <v>9.638399999999999</v>
      </c>
      <c r="I40" s="94">
        <f t="shared" si="5"/>
        <v>4.8191999999999995</v>
      </c>
      <c r="J40" s="93">
        <f t="shared" si="6"/>
        <v>2.4095999999999997</v>
      </c>
      <c r="K40" s="94">
        <f t="shared" si="7"/>
        <v>1.6047935999999998</v>
      </c>
      <c r="L40" s="93">
        <f t="shared" si="8"/>
        <v>1.2047999999999999</v>
      </c>
      <c r="M40" s="94">
        <f t="shared" si="9"/>
        <v>0.96383999999999992</v>
      </c>
    </row>
    <row r="41" spans="1:13" x14ac:dyDescent="0.3">
      <c r="A41" s="90">
        <v>1909</v>
      </c>
      <c r="B41" s="91">
        <v>9.4999999999999998E-3</v>
      </c>
      <c r="C41" s="92">
        <v>9.4999999999999998E-3</v>
      </c>
      <c r="D41" s="93">
        <f t="shared" si="0"/>
        <v>4.7690000000000001</v>
      </c>
      <c r="E41" s="94">
        <f t="shared" si="1"/>
        <v>23.844999999999999</v>
      </c>
      <c r="F41" s="93">
        <f t="shared" si="2"/>
        <v>19.076000000000001</v>
      </c>
      <c r="G41" s="94">
        <f t="shared" si="3"/>
        <v>14.307</v>
      </c>
      <c r="H41" s="93">
        <f t="shared" si="4"/>
        <v>9.5380000000000003</v>
      </c>
      <c r="I41" s="94">
        <f t="shared" si="5"/>
        <v>4.7690000000000001</v>
      </c>
      <c r="J41" s="93">
        <f t="shared" si="6"/>
        <v>2.3845000000000001</v>
      </c>
      <c r="K41" s="94">
        <f t="shared" si="7"/>
        <v>1.5880770000000002</v>
      </c>
      <c r="L41" s="93">
        <f t="shared" si="8"/>
        <v>1.19225</v>
      </c>
      <c r="M41" s="94">
        <f t="shared" si="9"/>
        <v>0.95380000000000009</v>
      </c>
    </row>
    <row r="42" spans="1:13" x14ac:dyDescent="0.3">
      <c r="A42" s="90">
        <v>1910</v>
      </c>
      <c r="B42" s="91">
        <v>9.7000000000000003E-3</v>
      </c>
      <c r="C42" s="92">
        <v>9.7000000000000003E-3</v>
      </c>
      <c r="D42" s="93">
        <f t="shared" si="0"/>
        <v>4.8693999999999997</v>
      </c>
      <c r="E42" s="94">
        <f t="shared" si="1"/>
        <v>24.346999999999998</v>
      </c>
      <c r="F42" s="93">
        <f t="shared" si="2"/>
        <v>19.477599999999999</v>
      </c>
      <c r="G42" s="94">
        <f t="shared" si="3"/>
        <v>14.6082</v>
      </c>
      <c r="H42" s="93">
        <f t="shared" si="4"/>
        <v>9.7387999999999995</v>
      </c>
      <c r="I42" s="94">
        <f t="shared" si="5"/>
        <v>4.8693999999999997</v>
      </c>
      <c r="J42" s="93">
        <f t="shared" si="6"/>
        <v>2.4346999999999999</v>
      </c>
      <c r="K42" s="94">
        <f t="shared" si="7"/>
        <v>1.6215101999999999</v>
      </c>
      <c r="L42" s="93">
        <f t="shared" si="8"/>
        <v>1.2173499999999999</v>
      </c>
      <c r="M42" s="94">
        <f t="shared" si="9"/>
        <v>0.97387999999999997</v>
      </c>
    </row>
    <row r="43" spans="1:13" x14ac:dyDescent="0.3">
      <c r="A43" s="90">
        <v>1911</v>
      </c>
      <c r="B43" s="91">
        <v>1.03E-2</v>
      </c>
      <c r="C43" s="92">
        <v>1.03E-2</v>
      </c>
      <c r="D43" s="93">
        <f t="shared" si="0"/>
        <v>5.1706000000000003</v>
      </c>
      <c r="E43" s="94">
        <f t="shared" si="1"/>
        <v>25.853000000000002</v>
      </c>
      <c r="F43" s="93">
        <f t="shared" si="2"/>
        <v>20.682400000000001</v>
      </c>
      <c r="G43" s="94">
        <f t="shared" si="3"/>
        <v>15.511800000000001</v>
      </c>
      <c r="H43" s="93">
        <f t="shared" si="4"/>
        <v>10.341200000000001</v>
      </c>
      <c r="I43" s="94">
        <f t="shared" si="5"/>
        <v>5.1706000000000003</v>
      </c>
      <c r="J43" s="93">
        <f t="shared" si="6"/>
        <v>2.5853000000000002</v>
      </c>
      <c r="K43" s="94">
        <f t="shared" si="7"/>
        <v>1.7218098000000002</v>
      </c>
      <c r="L43" s="93">
        <f t="shared" si="8"/>
        <v>1.2926500000000001</v>
      </c>
      <c r="M43" s="94">
        <f t="shared" si="9"/>
        <v>1.0341200000000002</v>
      </c>
    </row>
    <row r="44" spans="1:13" x14ac:dyDescent="0.3">
      <c r="A44" s="90">
        <v>1912</v>
      </c>
      <c r="B44" s="91">
        <v>8.6999999999999994E-3</v>
      </c>
      <c r="C44" s="92">
        <v>8.6999999999999994E-3</v>
      </c>
      <c r="D44" s="93">
        <f t="shared" si="0"/>
        <v>4.3673999999999999</v>
      </c>
      <c r="E44" s="94">
        <f t="shared" si="1"/>
        <v>21.837</v>
      </c>
      <c r="F44" s="93">
        <f t="shared" si="2"/>
        <v>17.4696</v>
      </c>
      <c r="G44" s="94">
        <f t="shared" si="3"/>
        <v>13.1022</v>
      </c>
      <c r="H44" s="93">
        <f t="shared" si="4"/>
        <v>8.7347999999999999</v>
      </c>
      <c r="I44" s="94">
        <f t="shared" si="5"/>
        <v>4.3673999999999999</v>
      </c>
      <c r="J44" s="93">
        <f t="shared" si="6"/>
        <v>2.1837</v>
      </c>
      <c r="K44" s="94">
        <f t="shared" si="7"/>
        <v>1.4543442</v>
      </c>
      <c r="L44" s="93">
        <f t="shared" si="8"/>
        <v>1.09185</v>
      </c>
      <c r="M44" s="94">
        <f t="shared" si="9"/>
        <v>0.87348000000000003</v>
      </c>
    </row>
    <row r="45" spans="1:13" x14ac:dyDescent="0.3">
      <c r="A45" s="90">
        <v>1913</v>
      </c>
      <c r="B45" s="91">
        <v>8.6E-3</v>
      </c>
      <c r="C45" s="92">
        <v>8.6E-3</v>
      </c>
      <c r="D45" s="93">
        <f t="shared" si="0"/>
        <v>4.3171999999999997</v>
      </c>
      <c r="E45" s="94">
        <f t="shared" si="1"/>
        <v>21.585999999999999</v>
      </c>
      <c r="F45" s="93">
        <f t="shared" si="2"/>
        <v>17.268799999999999</v>
      </c>
      <c r="G45" s="94">
        <f t="shared" si="3"/>
        <v>12.951599999999999</v>
      </c>
      <c r="H45" s="93">
        <f t="shared" si="4"/>
        <v>8.6343999999999994</v>
      </c>
      <c r="I45" s="94">
        <f t="shared" si="5"/>
        <v>4.3171999999999997</v>
      </c>
      <c r="J45" s="93">
        <f t="shared" si="6"/>
        <v>2.1585999999999999</v>
      </c>
      <c r="K45" s="94">
        <f t="shared" si="7"/>
        <v>1.4376275999999999</v>
      </c>
      <c r="L45" s="93">
        <f t="shared" si="8"/>
        <v>1.0792999999999999</v>
      </c>
      <c r="M45" s="94">
        <f t="shared" si="9"/>
        <v>0.86343999999999999</v>
      </c>
    </row>
    <row r="46" spans="1:13" x14ac:dyDescent="0.3">
      <c r="A46" s="90">
        <v>1914</v>
      </c>
      <c r="B46" s="91">
        <v>8.0999999999999996E-3</v>
      </c>
      <c r="C46" s="92">
        <v>8.0999999999999996E-3</v>
      </c>
      <c r="D46" s="93">
        <f t="shared" si="0"/>
        <v>4.0661999999999994</v>
      </c>
      <c r="E46" s="94">
        <f t="shared" si="1"/>
        <v>20.330999999999996</v>
      </c>
      <c r="F46" s="93">
        <f t="shared" si="2"/>
        <v>16.264799999999997</v>
      </c>
      <c r="G46" s="94">
        <f t="shared" si="3"/>
        <v>12.198599999999999</v>
      </c>
      <c r="H46" s="93">
        <f t="shared" si="4"/>
        <v>8.1323999999999987</v>
      </c>
      <c r="I46" s="94">
        <f t="shared" si="5"/>
        <v>4.0661999999999994</v>
      </c>
      <c r="J46" s="93">
        <f t="shared" si="6"/>
        <v>2.0330999999999997</v>
      </c>
      <c r="K46" s="94">
        <f t="shared" si="7"/>
        <v>1.3540445999999999</v>
      </c>
      <c r="L46" s="93">
        <f t="shared" si="8"/>
        <v>1.0165499999999998</v>
      </c>
      <c r="M46" s="94">
        <f t="shared" si="9"/>
        <v>0.81323999999999996</v>
      </c>
    </row>
    <row r="47" spans="1:13" x14ac:dyDescent="0.3">
      <c r="A47" s="90">
        <v>1915</v>
      </c>
      <c r="B47" s="91">
        <v>8.3000000000000001E-3</v>
      </c>
      <c r="C47" s="92">
        <v>8.3000000000000001E-3</v>
      </c>
      <c r="D47" s="93">
        <f t="shared" si="0"/>
        <v>4.1665999999999999</v>
      </c>
      <c r="E47" s="94">
        <f t="shared" si="1"/>
        <v>20.832999999999998</v>
      </c>
      <c r="F47" s="93">
        <f t="shared" si="2"/>
        <v>16.666399999999999</v>
      </c>
      <c r="G47" s="94">
        <f t="shared" si="3"/>
        <v>12.4998</v>
      </c>
      <c r="H47" s="93">
        <f t="shared" si="4"/>
        <v>8.3331999999999997</v>
      </c>
      <c r="I47" s="94">
        <f t="shared" si="5"/>
        <v>4.1665999999999999</v>
      </c>
      <c r="J47" s="93">
        <f t="shared" si="6"/>
        <v>2.0832999999999999</v>
      </c>
      <c r="K47" s="94">
        <f t="shared" si="7"/>
        <v>1.3874778000000001</v>
      </c>
      <c r="L47" s="93">
        <f t="shared" si="8"/>
        <v>1.04165</v>
      </c>
      <c r="M47" s="94">
        <f t="shared" si="9"/>
        <v>0.83332000000000006</v>
      </c>
    </row>
    <row r="48" spans="1:13" x14ac:dyDescent="0.3">
      <c r="A48" s="90">
        <v>1916</v>
      </c>
      <c r="B48" s="91">
        <v>7.7999999999999996E-3</v>
      </c>
      <c r="C48" s="92">
        <v>7.7999999999999996E-3</v>
      </c>
      <c r="D48" s="93">
        <f t="shared" si="0"/>
        <v>3.9156</v>
      </c>
      <c r="E48" s="94">
        <f t="shared" si="1"/>
        <v>19.577999999999999</v>
      </c>
      <c r="F48" s="93">
        <f t="shared" si="2"/>
        <v>15.6624</v>
      </c>
      <c r="G48" s="94">
        <f t="shared" si="3"/>
        <v>11.7468</v>
      </c>
      <c r="H48" s="93">
        <f t="shared" si="4"/>
        <v>7.8311999999999999</v>
      </c>
      <c r="I48" s="94">
        <f t="shared" si="5"/>
        <v>3.9156</v>
      </c>
      <c r="J48" s="93">
        <f t="shared" si="6"/>
        <v>1.9578</v>
      </c>
      <c r="K48" s="94">
        <f t="shared" si="7"/>
        <v>1.3038948000000001</v>
      </c>
      <c r="L48" s="93">
        <f t="shared" si="8"/>
        <v>0.97889999999999999</v>
      </c>
      <c r="M48" s="94">
        <f t="shared" si="9"/>
        <v>0.78312000000000004</v>
      </c>
    </row>
    <row r="49" spans="1:13" x14ac:dyDescent="0.3">
      <c r="A49" s="90">
        <v>1917</v>
      </c>
      <c r="B49" s="91">
        <v>7.1000000000000004E-3</v>
      </c>
      <c r="C49" s="92">
        <v>7.1000000000000004E-3</v>
      </c>
      <c r="D49" s="93">
        <f t="shared" si="0"/>
        <v>3.5642</v>
      </c>
      <c r="E49" s="94">
        <f t="shared" si="1"/>
        <v>17.821000000000002</v>
      </c>
      <c r="F49" s="93">
        <f t="shared" si="2"/>
        <v>14.2568</v>
      </c>
      <c r="G49" s="94">
        <f t="shared" si="3"/>
        <v>10.692600000000001</v>
      </c>
      <c r="H49" s="93">
        <f t="shared" si="4"/>
        <v>7.1284000000000001</v>
      </c>
      <c r="I49" s="94">
        <f t="shared" si="5"/>
        <v>3.5642</v>
      </c>
      <c r="J49" s="93">
        <f t="shared" si="6"/>
        <v>1.7821</v>
      </c>
      <c r="K49" s="94">
        <f t="shared" si="7"/>
        <v>1.1868786</v>
      </c>
      <c r="L49" s="93">
        <f t="shared" si="8"/>
        <v>0.89105000000000001</v>
      </c>
      <c r="M49" s="94">
        <f t="shared" si="9"/>
        <v>0.71284000000000003</v>
      </c>
    </row>
    <row r="50" spans="1:13" x14ac:dyDescent="0.3">
      <c r="A50" s="90">
        <v>1918</v>
      </c>
      <c r="B50" s="91">
        <v>6.7999999999999996E-3</v>
      </c>
      <c r="C50" s="92">
        <v>6.7999999999999996E-3</v>
      </c>
      <c r="D50" s="93">
        <f t="shared" si="0"/>
        <v>3.4135999999999997</v>
      </c>
      <c r="E50" s="94">
        <f t="shared" si="1"/>
        <v>17.067999999999998</v>
      </c>
      <c r="F50" s="93">
        <f t="shared" si="2"/>
        <v>13.654399999999999</v>
      </c>
      <c r="G50" s="94">
        <f t="shared" si="3"/>
        <v>10.2408</v>
      </c>
      <c r="H50" s="93">
        <f t="shared" si="4"/>
        <v>6.8271999999999995</v>
      </c>
      <c r="I50" s="94">
        <f t="shared" si="5"/>
        <v>3.4135999999999997</v>
      </c>
      <c r="J50" s="93">
        <f t="shared" si="6"/>
        <v>1.7067999999999999</v>
      </c>
      <c r="K50" s="94">
        <f t="shared" si="7"/>
        <v>1.1367288</v>
      </c>
      <c r="L50" s="93">
        <f t="shared" si="8"/>
        <v>0.85339999999999994</v>
      </c>
      <c r="M50" s="94">
        <f t="shared" si="9"/>
        <v>0.68271999999999999</v>
      </c>
    </row>
    <row r="51" spans="1:13" x14ac:dyDescent="0.3">
      <c r="A51" s="90">
        <v>1919</v>
      </c>
      <c r="B51" s="91">
        <v>7.1000000000000004E-3</v>
      </c>
      <c r="C51" s="92">
        <v>7.1000000000000004E-3</v>
      </c>
      <c r="D51" s="93">
        <f t="shared" si="0"/>
        <v>3.5642</v>
      </c>
      <c r="E51" s="94">
        <f t="shared" si="1"/>
        <v>17.821000000000002</v>
      </c>
      <c r="F51" s="93">
        <f t="shared" si="2"/>
        <v>14.2568</v>
      </c>
      <c r="G51" s="94">
        <f t="shared" si="3"/>
        <v>10.692600000000001</v>
      </c>
      <c r="H51" s="93">
        <f t="shared" si="4"/>
        <v>7.1284000000000001</v>
      </c>
      <c r="I51" s="94">
        <f t="shared" si="5"/>
        <v>3.5642</v>
      </c>
      <c r="J51" s="93">
        <f t="shared" si="6"/>
        <v>1.7821</v>
      </c>
      <c r="K51" s="94">
        <f t="shared" si="7"/>
        <v>1.1868786</v>
      </c>
      <c r="L51" s="93">
        <f t="shared" si="8"/>
        <v>0.89105000000000001</v>
      </c>
      <c r="M51" s="94">
        <f t="shared" si="9"/>
        <v>0.71284000000000003</v>
      </c>
    </row>
    <row r="52" spans="1:13" x14ac:dyDescent="0.3">
      <c r="A52" s="90">
        <v>1920</v>
      </c>
      <c r="B52" s="91">
        <v>6.7000000000000002E-3</v>
      </c>
      <c r="C52" s="92">
        <v>6.7000000000000002E-3</v>
      </c>
      <c r="D52" s="93">
        <f t="shared" si="0"/>
        <v>3.3633999999999999</v>
      </c>
      <c r="E52" s="94">
        <f t="shared" si="1"/>
        <v>16.817</v>
      </c>
      <c r="F52" s="93">
        <f t="shared" si="2"/>
        <v>13.4536</v>
      </c>
      <c r="G52" s="94">
        <f t="shared" si="3"/>
        <v>10.090199999999999</v>
      </c>
      <c r="H52" s="93">
        <f t="shared" si="4"/>
        <v>6.7267999999999999</v>
      </c>
      <c r="I52" s="94">
        <f t="shared" si="5"/>
        <v>3.3633999999999999</v>
      </c>
      <c r="J52" s="93">
        <f t="shared" si="6"/>
        <v>1.6817</v>
      </c>
      <c r="K52" s="94">
        <f t="shared" si="7"/>
        <v>1.1200122000000001</v>
      </c>
      <c r="L52" s="93">
        <f t="shared" si="8"/>
        <v>0.84084999999999999</v>
      </c>
      <c r="M52" s="94">
        <f t="shared" si="9"/>
        <v>0.67268000000000006</v>
      </c>
    </row>
    <row r="53" spans="1:13" x14ac:dyDescent="0.3">
      <c r="A53" s="90">
        <v>1921</v>
      </c>
      <c r="B53" s="91">
        <v>6.4999999999999997E-3</v>
      </c>
      <c r="C53" s="92">
        <v>6.4999999999999997E-3</v>
      </c>
      <c r="D53" s="93">
        <f t="shared" si="0"/>
        <v>3.2629999999999999</v>
      </c>
      <c r="E53" s="94">
        <f t="shared" si="1"/>
        <v>16.314999999999998</v>
      </c>
      <c r="F53" s="93">
        <f t="shared" si="2"/>
        <v>13.052</v>
      </c>
      <c r="G53" s="94">
        <f t="shared" si="3"/>
        <v>9.7889999999999997</v>
      </c>
      <c r="H53" s="93">
        <f t="shared" si="4"/>
        <v>6.5259999999999998</v>
      </c>
      <c r="I53" s="94">
        <f t="shared" si="5"/>
        <v>3.2629999999999999</v>
      </c>
      <c r="J53" s="93">
        <f t="shared" si="6"/>
        <v>1.6315</v>
      </c>
      <c r="K53" s="94">
        <f t="shared" si="7"/>
        <v>1.086579</v>
      </c>
      <c r="L53" s="93">
        <f t="shared" si="8"/>
        <v>0.81574999999999998</v>
      </c>
      <c r="M53" s="94">
        <f t="shared" si="9"/>
        <v>0.65260000000000007</v>
      </c>
    </row>
    <row r="54" spans="1:13" x14ac:dyDescent="0.3">
      <c r="A54" s="90">
        <v>1922</v>
      </c>
      <c r="B54" s="91">
        <v>7.0000000000000001E-3</v>
      </c>
      <c r="C54" s="92">
        <v>7.0000000000000001E-3</v>
      </c>
      <c r="D54" s="93">
        <f t="shared" si="0"/>
        <v>3.5140000000000002</v>
      </c>
      <c r="E54" s="94">
        <f t="shared" si="1"/>
        <v>17.57</v>
      </c>
      <c r="F54" s="93">
        <f t="shared" si="2"/>
        <v>14.056000000000001</v>
      </c>
      <c r="G54" s="94">
        <f t="shared" si="3"/>
        <v>10.542000000000002</v>
      </c>
      <c r="H54" s="93">
        <f t="shared" si="4"/>
        <v>7.0280000000000005</v>
      </c>
      <c r="I54" s="94">
        <f t="shared" si="5"/>
        <v>3.5140000000000002</v>
      </c>
      <c r="J54" s="93">
        <f t="shared" si="6"/>
        <v>1.7570000000000001</v>
      </c>
      <c r="K54" s="94">
        <f t="shared" si="7"/>
        <v>1.1701620000000001</v>
      </c>
      <c r="L54" s="93">
        <f t="shared" si="8"/>
        <v>0.87850000000000006</v>
      </c>
      <c r="M54" s="94">
        <f t="shared" si="9"/>
        <v>0.70280000000000009</v>
      </c>
    </row>
    <row r="55" spans="1:13" x14ac:dyDescent="0.3">
      <c r="A55" s="90">
        <v>1923</v>
      </c>
      <c r="B55" s="91">
        <v>7.1000000000000004E-3</v>
      </c>
      <c r="C55" s="92">
        <v>7.1000000000000004E-3</v>
      </c>
      <c r="D55" s="93">
        <f t="shared" si="0"/>
        <v>3.5642</v>
      </c>
      <c r="E55" s="94">
        <f t="shared" si="1"/>
        <v>17.821000000000002</v>
      </c>
      <c r="F55" s="93">
        <f t="shared" si="2"/>
        <v>14.2568</v>
      </c>
      <c r="G55" s="94">
        <f t="shared" si="3"/>
        <v>10.692600000000001</v>
      </c>
      <c r="H55" s="93">
        <f t="shared" si="4"/>
        <v>7.1284000000000001</v>
      </c>
      <c r="I55" s="94">
        <f t="shared" si="5"/>
        <v>3.5642</v>
      </c>
      <c r="J55" s="93">
        <f t="shared" si="6"/>
        <v>1.7821</v>
      </c>
      <c r="K55" s="94">
        <f t="shared" si="7"/>
        <v>1.1868786</v>
      </c>
      <c r="L55" s="93">
        <f t="shared" si="8"/>
        <v>0.89105000000000001</v>
      </c>
      <c r="M55" s="94">
        <f t="shared" si="9"/>
        <v>0.71284000000000003</v>
      </c>
    </row>
    <row r="56" spans="1:13" x14ac:dyDescent="0.3">
      <c r="A56" s="90">
        <v>1924</v>
      </c>
      <c r="B56" s="91">
        <v>6.4999999999999997E-3</v>
      </c>
      <c r="C56" s="92">
        <v>6.4999999999999997E-3</v>
      </c>
      <c r="D56" s="93">
        <f t="shared" si="0"/>
        <v>3.2629999999999999</v>
      </c>
      <c r="E56" s="94">
        <f t="shared" si="1"/>
        <v>16.314999999999998</v>
      </c>
      <c r="F56" s="93">
        <f t="shared" si="2"/>
        <v>13.052</v>
      </c>
      <c r="G56" s="94">
        <f t="shared" si="3"/>
        <v>9.7889999999999997</v>
      </c>
      <c r="H56" s="93">
        <f t="shared" si="4"/>
        <v>6.5259999999999998</v>
      </c>
      <c r="I56" s="94">
        <f t="shared" si="5"/>
        <v>3.2629999999999999</v>
      </c>
      <c r="J56" s="93">
        <f t="shared" si="6"/>
        <v>1.6315</v>
      </c>
      <c r="K56" s="94">
        <f t="shared" si="7"/>
        <v>1.086579</v>
      </c>
      <c r="L56" s="93">
        <f t="shared" si="8"/>
        <v>0.81574999999999998</v>
      </c>
      <c r="M56" s="94">
        <f t="shared" si="9"/>
        <v>0.65260000000000007</v>
      </c>
    </row>
    <row r="57" spans="1:13" x14ac:dyDescent="0.3">
      <c r="A57" s="90">
        <v>1925</v>
      </c>
      <c r="B57" s="91">
        <v>5.7999999999999996E-3</v>
      </c>
      <c r="C57" s="92">
        <v>5.7999999999999996E-3</v>
      </c>
      <c r="D57" s="93">
        <f t="shared" si="0"/>
        <v>2.9116</v>
      </c>
      <c r="E57" s="94">
        <f t="shared" si="1"/>
        <v>14.558</v>
      </c>
      <c r="F57" s="93">
        <f t="shared" si="2"/>
        <v>11.6464</v>
      </c>
      <c r="G57" s="94">
        <f t="shared" si="3"/>
        <v>8.7347999999999999</v>
      </c>
      <c r="H57" s="93">
        <f t="shared" si="4"/>
        <v>5.8231999999999999</v>
      </c>
      <c r="I57" s="94">
        <f t="shared" si="5"/>
        <v>2.9116</v>
      </c>
      <c r="J57" s="93">
        <f t="shared" si="6"/>
        <v>1.4558</v>
      </c>
      <c r="K57" s="94">
        <f t="shared" si="7"/>
        <v>0.96956280000000006</v>
      </c>
      <c r="L57" s="93">
        <f t="shared" si="8"/>
        <v>0.72789999999999999</v>
      </c>
      <c r="M57" s="94">
        <f t="shared" si="9"/>
        <v>0.58232000000000006</v>
      </c>
    </row>
    <row r="58" spans="1:13" x14ac:dyDescent="0.3">
      <c r="A58" s="90">
        <v>1926</v>
      </c>
      <c r="B58" s="91">
        <v>5.7999999999999996E-3</v>
      </c>
      <c r="C58" s="92">
        <v>5.7999999999999996E-3</v>
      </c>
      <c r="D58" s="93">
        <f t="shared" si="0"/>
        <v>2.9116</v>
      </c>
      <c r="E58" s="94">
        <f t="shared" si="1"/>
        <v>14.558</v>
      </c>
      <c r="F58" s="93">
        <f t="shared" si="2"/>
        <v>11.6464</v>
      </c>
      <c r="G58" s="94">
        <f t="shared" si="3"/>
        <v>8.7347999999999999</v>
      </c>
      <c r="H58" s="93">
        <f t="shared" si="4"/>
        <v>5.8231999999999999</v>
      </c>
      <c r="I58" s="94">
        <f t="shared" si="5"/>
        <v>2.9116</v>
      </c>
      <c r="J58" s="93">
        <f t="shared" si="6"/>
        <v>1.4558</v>
      </c>
      <c r="K58" s="94">
        <f t="shared" si="7"/>
        <v>0.96956280000000006</v>
      </c>
      <c r="L58" s="93">
        <f t="shared" si="8"/>
        <v>0.72789999999999999</v>
      </c>
      <c r="M58" s="94">
        <f t="shared" si="9"/>
        <v>0.58232000000000006</v>
      </c>
    </row>
    <row r="59" spans="1:13" x14ac:dyDescent="0.3">
      <c r="A59" s="90">
        <v>1927</v>
      </c>
      <c r="B59" s="91">
        <v>5.7000000000000002E-3</v>
      </c>
      <c r="C59" s="92">
        <v>5.7000000000000002E-3</v>
      </c>
      <c r="D59" s="93">
        <f t="shared" si="0"/>
        <v>2.8614000000000002</v>
      </c>
      <c r="E59" s="94">
        <f t="shared" si="1"/>
        <v>14.307</v>
      </c>
      <c r="F59" s="93">
        <f t="shared" si="2"/>
        <v>11.445600000000001</v>
      </c>
      <c r="G59" s="94">
        <f t="shared" si="3"/>
        <v>8.5842000000000009</v>
      </c>
      <c r="H59" s="93">
        <f t="shared" si="4"/>
        <v>5.7228000000000003</v>
      </c>
      <c r="I59" s="94">
        <f t="shared" si="5"/>
        <v>2.8614000000000002</v>
      </c>
      <c r="J59" s="93">
        <f t="shared" si="6"/>
        <v>1.4307000000000001</v>
      </c>
      <c r="K59" s="94">
        <f t="shared" si="7"/>
        <v>0.95284620000000009</v>
      </c>
      <c r="L59" s="93">
        <f t="shared" si="8"/>
        <v>0.71535000000000004</v>
      </c>
      <c r="M59" s="94">
        <f t="shared" si="9"/>
        <v>0.57228000000000001</v>
      </c>
    </row>
    <row r="60" spans="1:13" x14ac:dyDescent="0.3">
      <c r="A60" s="90">
        <v>1928</v>
      </c>
      <c r="B60" s="91">
        <v>5.4000000000000003E-3</v>
      </c>
      <c r="C60" s="92">
        <v>5.4000000000000003E-3</v>
      </c>
      <c r="D60" s="93">
        <f t="shared" si="0"/>
        <v>2.7108000000000003</v>
      </c>
      <c r="E60" s="94">
        <f t="shared" si="1"/>
        <v>13.554000000000002</v>
      </c>
      <c r="F60" s="93">
        <f t="shared" si="2"/>
        <v>10.843200000000001</v>
      </c>
      <c r="G60" s="94">
        <f t="shared" si="3"/>
        <v>8.1324000000000005</v>
      </c>
      <c r="H60" s="93">
        <f t="shared" si="4"/>
        <v>5.4216000000000006</v>
      </c>
      <c r="I60" s="94">
        <f t="shared" si="5"/>
        <v>2.7108000000000003</v>
      </c>
      <c r="J60" s="93">
        <f t="shared" si="6"/>
        <v>1.3554000000000002</v>
      </c>
      <c r="K60" s="94">
        <f t="shared" si="7"/>
        <v>0.90269640000000018</v>
      </c>
      <c r="L60" s="93">
        <f t="shared" si="8"/>
        <v>0.67770000000000008</v>
      </c>
      <c r="M60" s="94">
        <f t="shared" si="9"/>
        <v>0.54216000000000009</v>
      </c>
    </row>
    <row r="61" spans="1:13" x14ac:dyDescent="0.3">
      <c r="A61" s="90">
        <v>1929</v>
      </c>
      <c r="B61" s="91">
        <v>4.7999999999999996E-3</v>
      </c>
      <c r="C61" s="92">
        <v>4.7999999999999996E-3</v>
      </c>
      <c r="D61" s="93">
        <f t="shared" si="0"/>
        <v>2.4095999999999997</v>
      </c>
      <c r="E61" s="94">
        <f t="shared" si="1"/>
        <v>12.047999999999998</v>
      </c>
      <c r="F61" s="93">
        <f t="shared" si="2"/>
        <v>9.638399999999999</v>
      </c>
      <c r="G61" s="94">
        <f t="shared" si="3"/>
        <v>7.2287999999999997</v>
      </c>
      <c r="H61" s="93">
        <f t="shared" si="4"/>
        <v>4.8191999999999995</v>
      </c>
      <c r="I61" s="94">
        <f t="shared" si="5"/>
        <v>2.4095999999999997</v>
      </c>
      <c r="J61" s="93">
        <f t="shared" si="6"/>
        <v>1.2047999999999999</v>
      </c>
      <c r="K61" s="94">
        <f t="shared" si="7"/>
        <v>0.80239679999999991</v>
      </c>
      <c r="L61" s="93">
        <f t="shared" si="8"/>
        <v>0.60239999999999994</v>
      </c>
      <c r="M61" s="94">
        <f t="shared" si="9"/>
        <v>0.48191999999999996</v>
      </c>
    </row>
    <row r="62" spans="1:13" x14ac:dyDescent="0.3">
      <c r="A62" s="90">
        <v>1930</v>
      </c>
      <c r="B62" s="91">
        <v>4.7000000000000002E-3</v>
      </c>
      <c r="C62" s="92">
        <v>4.7000000000000002E-3</v>
      </c>
      <c r="D62" s="93">
        <f t="shared" si="0"/>
        <v>2.3593999999999999</v>
      </c>
      <c r="E62" s="94">
        <f t="shared" si="1"/>
        <v>11.797000000000001</v>
      </c>
      <c r="F62" s="93">
        <f t="shared" si="2"/>
        <v>9.4375999999999998</v>
      </c>
      <c r="G62" s="94">
        <f t="shared" si="3"/>
        <v>7.0781999999999998</v>
      </c>
      <c r="H62" s="93">
        <f t="shared" si="4"/>
        <v>4.7187999999999999</v>
      </c>
      <c r="I62" s="94">
        <f t="shared" si="5"/>
        <v>2.3593999999999999</v>
      </c>
      <c r="J62" s="93">
        <f t="shared" si="6"/>
        <v>1.1797</v>
      </c>
      <c r="K62" s="94">
        <f t="shared" si="7"/>
        <v>0.78568020000000005</v>
      </c>
      <c r="L62" s="93">
        <f t="shared" si="8"/>
        <v>0.58984999999999999</v>
      </c>
      <c r="M62" s="94">
        <f t="shared" si="9"/>
        <v>0.47188000000000002</v>
      </c>
    </row>
    <row r="63" spans="1:13" x14ac:dyDescent="0.3">
      <c r="A63" s="90">
        <v>1931</v>
      </c>
      <c r="B63" s="91">
        <v>4.4000000000000003E-3</v>
      </c>
      <c r="C63" s="92">
        <v>4.4000000000000003E-3</v>
      </c>
      <c r="D63" s="93">
        <f t="shared" si="0"/>
        <v>2.2088000000000001</v>
      </c>
      <c r="E63" s="94">
        <f t="shared" si="1"/>
        <v>11.044</v>
      </c>
      <c r="F63" s="93">
        <f t="shared" si="2"/>
        <v>8.8352000000000004</v>
      </c>
      <c r="G63" s="94">
        <f t="shared" si="3"/>
        <v>6.6264000000000003</v>
      </c>
      <c r="H63" s="93">
        <f t="shared" si="4"/>
        <v>4.4176000000000002</v>
      </c>
      <c r="I63" s="94">
        <f t="shared" si="5"/>
        <v>2.2088000000000001</v>
      </c>
      <c r="J63" s="93">
        <f t="shared" si="6"/>
        <v>1.1044</v>
      </c>
      <c r="K63" s="94">
        <f t="shared" si="7"/>
        <v>0.73553040000000003</v>
      </c>
      <c r="L63" s="93">
        <f t="shared" si="8"/>
        <v>0.55220000000000002</v>
      </c>
      <c r="M63" s="94">
        <f t="shared" si="9"/>
        <v>0.44176000000000004</v>
      </c>
    </row>
    <row r="64" spans="1:13" x14ac:dyDescent="0.3">
      <c r="A64" s="90">
        <v>1932</v>
      </c>
      <c r="B64" s="91">
        <v>4.1999999999999997E-3</v>
      </c>
      <c r="C64" s="92">
        <v>4.1999999999999997E-3</v>
      </c>
      <c r="D64" s="93">
        <f t="shared" si="0"/>
        <v>2.1084000000000001</v>
      </c>
      <c r="E64" s="94">
        <f t="shared" si="1"/>
        <v>10.542</v>
      </c>
      <c r="F64" s="93">
        <f t="shared" si="2"/>
        <v>8.4336000000000002</v>
      </c>
      <c r="G64" s="94">
        <f t="shared" si="3"/>
        <v>6.3252000000000006</v>
      </c>
      <c r="H64" s="93">
        <f t="shared" si="4"/>
        <v>4.2168000000000001</v>
      </c>
      <c r="I64" s="94">
        <f t="shared" si="5"/>
        <v>2.1084000000000001</v>
      </c>
      <c r="J64" s="93">
        <f t="shared" si="6"/>
        <v>1.0542</v>
      </c>
      <c r="K64" s="94">
        <f t="shared" si="7"/>
        <v>0.70209720000000009</v>
      </c>
      <c r="L64" s="93">
        <f t="shared" si="8"/>
        <v>0.52710000000000001</v>
      </c>
      <c r="M64" s="94">
        <f t="shared" si="9"/>
        <v>0.42168000000000005</v>
      </c>
    </row>
    <row r="65" spans="1:13" x14ac:dyDescent="0.3">
      <c r="A65" s="90">
        <v>1933</v>
      </c>
      <c r="B65" s="91">
        <v>4.1000000000000003E-3</v>
      </c>
      <c r="C65" s="92">
        <v>4.1000000000000003E-3</v>
      </c>
      <c r="D65" s="93">
        <f t="shared" si="0"/>
        <v>2.0582000000000003</v>
      </c>
      <c r="E65" s="94">
        <f t="shared" si="1"/>
        <v>10.291</v>
      </c>
      <c r="F65" s="93">
        <f t="shared" si="2"/>
        <v>8.232800000000001</v>
      </c>
      <c r="G65" s="94">
        <f t="shared" si="3"/>
        <v>6.1746000000000008</v>
      </c>
      <c r="H65" s="93">
        <f t="shared" si="4"/>
        <v>4.1164000000000005</v>
      </c>
      <c r="I65" s="94">
        <f t="shared" si="5"/>
        <v>2.0582000000000003</v>
      </c>
      <c r="J65" s="93">
        <f t="shared" si="6"/>
        <v>1.0291000000000001</v>
      </c>
      <c r="K65" s="94">
        <f t="shared" si="7"/>
        <v>0.68538060000000012</v>
      </c>
      <c r="L65" s="93">
        <f t="shared" si="8"/>
        <v>0.51455000000000006</v>
      </c>
      <c r="M65" s="94">
        <f t="shared" si="9"/>
        <v>0.41164000000000006</v>
      </c>
    </row>
    <row r="66" spans="1:13" x14ac:dyDescent="0.3">
      <c r="A66" s="90">
        <v>1934</v>
      </c>
      <c r="B66" s="91">
        <v>4.0000000000000001E-3</v>
      </c>
      <c r="C66" s="92">
        <v>4.0000000000000001E-3</v>
      </c>
      <c r="D66" s="93">
        <f t="shared" si="0"/>
        <v>2.008</v>
      </c>
      <c r="E66" s="94">
        <f t="shared" si="1"/>
        <v>10.039999999999999</v>
      </c>
      <c r="F66" s="93">
        <f t="shared" si="2"/>
        <v>8.032</v>
      </c>
      <c r="G66" s="94">
        <f t="shared" si="3"/>
        <v>6.024</v>
      </c>
      <c r="H66" s="93">
        <f t="shared" si="4"/>
        <v>4.016</v>
      </c>
      <c r="I66" s="94">
        <f t="shared" si="5"/>
        <v>2.008</v>
      </c>
      <c r="J66" s="93">
        <f t="shared" si="6"/>
        <v>1.004</v>
      </c>
      <c r="K66" s="94">
        <f t="shared" si="7"/>
        <v>0.66866400000000004</v>
      </c>
      <c r="L66" s="93">
        <f t="shared" si="8"/>
        <v>0.502</v>
      </c>
      <c r="M66" s="94">
        <f t="shared" si="9"/>
        <v>0.40160000000000001</v>
      </c>
    </row>
    <row r="67" spans="1:13" x14ac:dyDescent="0.3">
      <c r="A67" s="90">
        <v>1935</v>
      </c>
      <c r="B67" s="91">
        <v>4.4000000000000003E-3</v>
      </c>
      <c r="C67" s="92">
        <v>4.4000000000000003E-3</v>
      </c>
      <c r="D67" s="93">
        <f t="shared" si="0"/>
        <v>2.2088000000000001</v>
      </c>
      <c r="E67" s="94">
        <f t="shared" si="1"/>
        <v>11.044</v>
      </c>
      <c r="F67" s="93">
        <f t="shared" si="2"/>
        <v>8.8352000000000004</v>
      </c>
      <c r="G67" s="94">
        <f t="shared" si="3"/>
        <v>6.6264000000000003</v>
      </c>
      <c r="H67" s="93">
        <f t="shared" si="4"/>
        <v>4.4176000000000002</v>
      </c>
      <c r="I67" s="94">
        <f t="shared" si="5"/>
        <v>2.2088000000000001</v>
      </c>
      <c r="J67" s="93">
        <f t="shared" si="6"/>
        <v>1.1044</v>
      </c>
      <c r="K67" s="94">
        <f t="shared" si="7"/>
        <v>0.73553040000000003</v>
      </c>
      <c r="L67" s="93">
        <f t="shared" si="8"/>
        <v>0.55220000000000002</v>
      </c>
      <c r="M67" s="94">
        <f t="shared" si="9"/>
        <v>0.44176000000000004</v>
      </c>
    </row>
    <row r="68" spans="1:13" x14ac:dyDescent="0.3">
      <c r="A68" s="90">
        <v>1936</v>
      </c>
      <c r="B68" s="91">
        <v>4.7000000000000002E-3</v>
      </c>
      <c r="C68" s="92">
        <v>4.7000000000000002E-3</v>
      </c>
      <c r="D68" s="93">
        <f t="shared" si="0"/>
        <v>2.3593999999999999</v>
      </c>
      <c r="E68" s="94">
        <f t="shared" si="1"/>
        <v>11.797000000000001</v>
      </c>
      <c r="F68" s="93">
        <f t="shared" si="2"/>
        <v>9.4375999999999998</v>
      </c>
      <c r="G68" s="94">
        <f t="shared" si="3"/>
        <v>7.0781999999999998</v>
      </c>
      <c r="H68" s="93">
        <f t="shared" si="4"/>
        <v>4.7187999999999999</v>
      </c>
      <c r="I68" s="94">
        <f t="shared" si="5"/>
        <v>2.3593999999999999</v>
      </c>
      <c r="J68" s="93">
        <f t="shared" si="6"/>
        <v>1.1797</v>
      </c>
      <c r="K68" s="94">
        <f t="shared" si="7"/>
        <v>0.78568020000000005</v>
      </c>
      <c r="L68" s="93">
        <f t="shared" si="8"/>
        <v>0.58984999999999999</v>
      </c>
      <c r="M68" s="94">
        <f t="shared" si="9"/>
        <v>0.47188000000000002</v>
      </c>
    </row>
    <row r="69" spans="1:13" x14ac:dyDescent="0.3">
      <c r="A69" s="90">
        <v>1937</v>
      </c>
      <c r="B69" s="91">
        <v>3.7000000000000002E-3</v>
      </c>
      <c r="C69" s="92">
        <v>3.7000000000000002E-3</v>
      </c>
      <c r="D69" s="93">
        <f t="shared" si="0"/>
        <v>1.8574000000000002</v>
      </c>
      <c r="E69" s="94">
        <f t="shared" si="1"/>
        <v>9.2870000000000008</v>
      </c>
      <c r="F69" s="93">
        <f t="shared" si="2"/>
        <v>7.4296000000000006</v>
      </c>
      <c r="G69" s="94">
        <f t="shared" si="3"/>
        <v>5.5722000000000005</v>
      </c>
      <c r="H69" s="93">
        <f t="shared" si="4"/>
        <v>3.7148000000000003</v>
      </c>
      <c r="I69" s="94">
        <f t="shared" si="5"/>
        <v>1.8574000000000002</v>
      </c>
      <c r="J69" s="93">
        <f t="shared" si="6"/>
        <v>0.92870000000000008</v>
      </c>
      <c r="K69" s="94">
        <f t="shared" si="7"/>
        <v>0.61851420000000013</v>
      </c>
      <c r="L69" s="93">
        <f t="shared" si="8"/>
        <v>0.46435000000000004</v>
      </c>
      <c r="M69" s="94">
        <f t="shared" si="9"/>
        <v>0.37148000000000003</v>
      </c>
    </row>
    <row r="70" spans="1:13" x14ac:dyDescent="0.3">
      <c r="A70" s="90">
        <v>1938</v>
      </c>
      <c r="B70" s="91">
        <v>4.1000000000000003E-3</v>
      </c>
      <c r="C70" s="92">
        <v>4.1000000000000003E-3</v>
      </c>
      <c r="D70" s="93">
        <f t="shared" si="0"/>
        <v>2.0582000000000003</v>
      </c>
      <c r="E70" s="94">
        <f t="shared" si="1"/>
        <v>10.291</v>
      </c>
      <c r="F70" s="93">
        <f t="shared" si="2"/>
        <v>8.232800000000001</v>
      </c>
      <c r="G70" s="94">
        <f t="shared" si="3"/>
        <v>6.1746000000000008</v>
      </c>
      <c r="H70" s="93">
        <f t="shared" si="4"/>
        <v>4.1164000000000005</v>
      </c>
      <c r="I70" s="94">
        <f t="shared" si="5"/>
        <v>2.0582000000000003</v>
      </c>
      <c r="J70" s="93">
        <f t="shared" si="6"/>
        <v>1.0291000000000001</v>
      </c>
      <c r="K70" s="94">
        <f t="shared" si="7"/>
        <v>0.68538060000000012</v>
      </c>
      <c r="L70" s="93">
        <f t="shared" si="8"/>
        <v>0.51455000000000006</v>
      </c>
      <c r="M70" s="94">
        <f t="shared" si="9"/>
        <v>0.41164000000000006</v>
      </c>
    </row>
    <row r="71" spans="1:13" x14ac:dyDescent="0.3">
      <c r="A71" s="90">
        <v>1939</v>
      </c>
      <c r="B71" s="91">
        <v>4.1999999999999997E-3</v>
      </c>
      <c r="C71" s="92">
        <v>4.1999999999999997E-3</v>
      </c>
      <c r="D71" s="93">
        <f t="shared" si="0"/>
        <v>2.1084000000000001</v>
      </c>
      <c r="E71" s="94">
        <f t="shared" si="1"/>
        <v>10.542</v>
      </c>
      <c r="F71" s="93">
        <f t="shared" si="2"/>
        <v>8.4336000000000002</v>
      </c>
      <c r="G71" s="94">
        <f t="shared" si="3"/>
        <v>6.3252000000000006</v>
      </c>
      <c r="H71" s="93">
        <f t="shared" si="4"/>
        <v>4.2168000000000001</v>
      </c>
      <c r="I71" s="94">
        <f t="shared" si="5"/>
        <v>2.1084000000000001</v>
      </c>
      <c r="J71" s="93">
        <f t="shared" si="6"/>
        <v>1.0542</v>
      </c>
      <c r="K71" s="94">
        <f t="shared" si="7"/>
        <v>0.70209720000000009</v>
      </c>
      <c r="L71" s="93">
        <f t="shared" si="8"/>
        <v>0.52710000000000001</v>
      </c>
      <c r="M71" s="94">
        <f t="shared" si="9"/>
        <v>0.42168000000000005</v>
      </c>
    </row>
    <row r="72" spans="1:13" x14ac:dyDescent="0.3">
      <c r="A72" s="90">
        <v>1940</v>
      </c>
      <c r="B72" s="91">
        <v>4.1999999999999997E-3</v>
      </c>
      <c r="C72" s="92">
        <v>4.1999999999999997E-3</v>
      </c>
      <c r="D72" s="93">
        <f t="shared" si="0"/>
        <v>2.1084000000000001</v>
      </c>
      <c r="E72" s="94">
        <f t="shared" si="1"/>
        <v>10.542</v>
      </c>
      <c r="F72" s="93">
        <f t="shared" si="2"/>
        <v>8.4336000000000002</v>
      </c>
      <c r="G72" s="94">
        <f t="shared" si="3"/>
        <v>6.3252000000000006</v>
      </c>
      <c r="H72" s="93">
        <f t="shared" si="4"/>
        <v>4.2168000000000001</v>
      </c>
      <c r="I72" s="94">
        <f t="shared" si="5"/>
        <v>2.1084000000000001</v>
      </c>
      <c r="J72" s="93">
        <f t="shared" si="6"/>
        <v>1.0542</v>
      </c>
      <c r="K72" s="94">
        <f t="shared" si="7"/>
        <v>0.70209720000000009</v>
      </c>
      <c r="L72" s="93">
        <f t="shared" si="8"/>
        <v>0.52710000000000001</v>
      </c>
      <c r="M72" s="94">
        <f t="shared" si="9"/>
        <v>0.42168000000000005</v>
      </c>
    </row>
    <row r="73" spans="1:13" x14ac:dyDescent="0.3">
      <c r="A73" s="90">
        <v>1941</v>
      </c>
      <c r="B73" s="91">
        <v>3.5999999999999999E-3</v>
      </c>
      <c r="C73" s="92">
        <v>3.5999999999999999E-3</v>
      </c>
      <c r="D73" s="93">
        <f t="shared" si="0"/>
        <v>1.8071999999999999</v>
      </c>
      <c r="E73" s="94">
        <f t="shared" si="1"/>
        <v>9.0359999999999996</v>
      </c>
      <c r="F73" s="93">
        <f t="shared" si="2"/>
        <v>7.2287999999999997</v>
      </c>
      <c r="G73" s="94">
        <f t="shared" si="3"/>
        <v>5.4215999999999998</v>
      </c>
      <c r="H73" s="93">
        <f t="shared" si="4"/>
        <v>3.6143999999999998</v>
      </c>
      <c r="I73" s="94">
        <f t="shared" si="5"/>
        <v>1.8071999999999999</v>
      </c>
      <c r="J73" s="93">
        <f t="shared" si="6"/>
        <v>0.90359999999999996</v>
      </c>
      <c r="K73" s="94">
        <f t="shared" si="7"/>
        <v>0.60179760000000004</v>
      </c>
      <c r="L73" s="93">
        <f t="shared" si="8"/>
        <v>0.45179999999999998</v>
      </c>
      <c r="M73" s="94">
        <f t="shared" si="9"/>
        <v>0.36143999999999998</v>
      </c>
    </row>
    <row r="74" spans="1:13" x14ac:dyDescent="0.3">
      <c r="A74" s="90">
        <v>1942</v>
      </c>
      <c r="B74" s="91">
        <v>4.0000000000000001E-3</v>
      </c>
      <c r="C74" s="92">
        <v>4.0000000000000001E-3</v>
      </c>
      <c r="D74" s="93">
        <f t="shared" si="0"/>
        <v>2.008</v>
      </c>
      <c r="E74" s="94">
        <f t="shared" si="1"/>
        <v>10.039999999999999</v>
      </c>
      <c r="F74" s="93">
        <f t="shared" si="2"/>
        <v>8.032</v>
      </c>
      <c r="G74" s="94">
        <f t="shared" si="3"/>
        <v>6.024</v>
      </c>
      <c r="H74" s="93">
        <f t="shared" si="4"/>
        <v>4.016</v>
      </c>
      <c r="I74" s="94">
        <f t="shared" si="5"/>
        <v>2.008</v>
      </c>
      <c r="J74" s="93">
        <f t="shared" si="6"/>
        <v>1.004</v>
      </c>
      <c r="K74" s="94">
        <f t="shared" si="7"/>
        <v>0.66866400000000004</v>
      </c>
      <c r="L74" s="93">
        <f t="shared" si="8"/>
        <v>0.502</v>
      </c>
      <c r="M74" s="94">
        <f t="shared" si="9"/>
        <v>0.40160000000000001</v>
      </c>
    </row>
    <row r="75" spans="1:13" x14ac:dyDescent="0.3">
      <c r="A75" s="90">
        <v>1943</v>
      </c>
      <c r="B75" s="91">
        <v>3.8999999999999998E-3</v>
      </c>
      <c r="C75" s="92">
        <v>3.8999999999999998E-3</v>
      </c>
      <c r="D75" s="93">
        <f t="shared" si="0"/>
        <v>1.9578</v>
      </c>
      <c r="E75" s="94">
        <f t="shared" si="1"/>
        <v>9.7889999999999997</v>
      </c>
      <c r="F75" s="93">
        <f t="shared" si="2"/>
        <v>7.8311999999999999</v>
      </c>
      <c r="G75" s="94">
        <f t="shared" si="3"/>
        <v>5.8734000000000002</v>
      </c>
      <c r="H75" s="93">
        <f t="shared" si="4"/>
        <v>3.9156</v>
      </c>
      <c r="I75" s="94">
        <f t="shared" si="5"/>
        <v>1.9578</v>
      </c>
      <c r="J75" s="93">
        <f t="shared" si="6"/>
        <v>0.97889999999999999</v>
      </c>
      <c r="K75" s="94">
        <f t="shared" si="7"/>
        <v>0.65194740000000007</v>
      </c>
      <c r="L75" s="93">
        <f t="shared" si="8"/>
        <v>0.48945</v>
      </c>
      <c r="M75" s="94">
        <f t="shared" si="9"/>
        <v>0.39156000000000002</v>
      </c>
    </row>
    <row r="76" spans="1:13" x14ac:dyDescent="0.3">
      <c r="A76" s="90">
        <v>1944</v>
      </c>
      <c r="B76" s="91">
        <v>4.1000000000000003E-3</v>
      </c>
      <c r="C76" s="92">
        <v>4.1000000000000003E-3</v>
      </c>
      <c r="D76" s="93">
        <f t="shared" si="0"/>
        <v>2.0582000000000003</v>
      </c>
      <c r="E76" s="94">
        <f t="shared" si="1"/>
        <v>10.291</v>
      </c>
      <c r="F76" s="93">
        <f t="shared" si="2"/>
        <v>8.232800000000001</v>
      </c>
      <c r="G76" s="94">
        <f t="shared" si="3"/>
        <v>6.1746000000000008</v>
      </c>
      <c r="H76" s="93">
        <f t="shared" si="4"/>
        <v>4.1164000000000005</v>
      </c>
      <c r="I76" s="94">
        <f t="shared" si="5"/>
        <v>2.0582000000000003</v>
      </c>
      <c r="J76" s="93">
        <f t="shared" si="6"/>
        <v>1.0291000000000001</v>
      </c>
      <c r="K76" s="94">
        <f t="shared" si="7"/>
        <v>0.68538060000000012</v>
      </c>
      <c r="L76" s="93">
        <f t="shared" si="8"/>
        <v>0.51455000000000006</v>
      </c>
      <c r="M76" s="94">
        <f t="shared" si="9"/>
        <v>0.41164000000000006</v>
      </c>
    </row>
    <row r="77" spans="1:13" x14ac:dyDescent="0.3">
      <c r="A77" s="90">
        <v>1945</v>
      </c>
      <c r="B77" s="91">
        <v>4.3E-3</v>
      </c>
      <c r="C77" s="92">
        <v>4.3E-3</v>
      </c>
      <c r="D77" s="93">
        <f t="shared" si="0"/>
        <v>2.1585999999999999</v>
      </c>
      <c r="E77" s="94">
        <f t="shared" si="1"/>
        <v>10.792999999999999</v>
      </c>
      <c r="F77" s="93">
        <f t="shared" si="2"/>
        <v>8.6343999999999994</v>
      </c>
      <c r="G77" s="94">
        <f t="shared" si="3"/>
        <v>6.4757999999999996</v>
      </c>
      <c r="H77" s="93">
        <f t="shared" si="4"/>
        <v>4.3171999999999997</v>
      </c>
      <c r="I77" s="94">
        <f t="shared" si="5"/>
        <v>2.1585999999999999</v>
      </c>
      <c r="J77" s="93">
        <f t="shared" si="6"/>
        <v>1.0792999999999999</v>
      </c>
      <c r="K77" s="94">
        <f t="shared" si="7"/>
        <v>0.71881379999999995</v>
      </c>
      <c r="L77" s="93">
        <f t="shared" si="8"/>
        <v>0.53964999999999996</v>
      </c>
      <c r="M77" s="94">
        <f t="shared" si="9"/>
        <v>0.43171999999999999</v>
      </c>
    </row>
    <row r="78" spans="1:13" x14ac:dyDescent="0.3">
      <c r="A78" s="90">
        <v>1946</v>
      </c>
      <c r="B78" s="91">
        <v>3.7000000000000002E-3</v>
      </c>
      <c r="C78" s="92">
        <v>3.7000000000000002E-3</v>
      </c>
      <c r="D78" s="93">
        <f t="shared" si="0"/>
        <v>1.8574000000000002</v>
      </c>
      <c r="E78" s="94">
        <f t="shared" si="1"/>
        <v>9.2870000000000008</v>
      </c>
      <c r="F78" s="93">
        <f t="shared" si="2"/>
        <v>7.4296000000000006</v>
      </c>
      <c r="G78" s="94">
        <f t="shared" si="3"/>
        <v>5.5722000000000005</v>
      </c>
      <c r="H78" s="93">
        <f t="shared" si="4"/>
        <v>3.7148000000000003</v>
      </c>
      <c r="I78" s="94">
        <f t="shared" si="5"/>
        <v>1.8574000000000002</v>
      </c>
      <c r="J78" s="93">
        <f t="shared" si="6"/>
        <v>0.92870000000000008</v>
      </c>
      <c r="K78" s="94">
        <f t="shared" si="7"/>
        <v>0.61851420000000013</v>
      </c>
      <c r="L78" s="93">
        <f t="shared" si="8"/>
        <v>0.46435000000000004</v>
      </c>
      <c r="M78" s="94">
        <f t="shared" si="9"/>
        <v>0.37148000000000003</v>
      </c>
    </row>
    <row r="79" spans="1:13" x14ac:dyDescent="0.3">
      <c r="A79" s="90">
        <v>1947</v>
      </c>
      <c r="B79" s="91">
        <v>3.8E-3</v>
      </c>
      <c r="C79" s="92">
        <v>3.8E-3</v>
      </c>
      <c r="D79" s="93">
        <f t="shared" si="0"/>
        <v>1.9076</v>
      </c>
      <c r="E79" s="94">
        <f t="shared" si="1"/>
        <v>9.5380000000000003</v>
      </c>
      <c r="F79" s="93">
        <f t="shared" si="2"/>
        <v>7.6303999999999998</v>
      </c>
      <c r="G79" s="94">
        <f t="shared" si="3"/>
        <v>5.7227999999999994</v>
      </c>
      <c r="H79" s="93">
        <f t="shared" si="4"/>
        <v>3.8151999999999999</v>
      </c>
      <c r="I79" s="94">
        <f t="shared" si="5"/>
        <v>1.9076</v>
      </c>
      <c r="J79" s="93">
        <f t="shared" si="6"/>
        <v>0.95379999999999998</v>
      </c>
      <c r="K79" s="94">
        <f t="shared" si="7"/>
        <v>0.63523079999999998</v>
      </c>
      <c r="L79" s="93">
        <f t="shared" si="8"/>
        <v>0.47689999999999999</v>
      </c>
      <c r="M79" s="94">
        <f t="shared" si="9"/>
        <v>0.38152000000000003</v>
      </c>
    </row>
    <row r="80" spans="1:13" x14ac:dyDescent="0.3">
      <c r="A80" s="90">
        <v>1948</v>
      </c>
      <c r="B80" s="91">
        <v>4.1000000000000003E-3</v>
      </c>
      <c r="C80" s="92">
        <v>4.1000000000000003E-3</v>
      </c>
      <c r="D80" s="93">
        <f t="shared" si="0"/>
        <v>2.0582000000000003</v>
      </c>
      <c r="E80" s="94">
        <f t="shared" si="1"/>
        <v>10.291</v>
      </c>
      <c r="F80" s="93">
        <f t="shared" si="2"/>
        <v>8.232800000000001</v>
      </c>
      <c r="G80" s="94">
        <f t="shared" si="3"/>
        <v>6.1746000000000008</v>
      </c>
      <c r="H80" s="93">
        <f t="shared" si="4"/>
        <v>4.1164000000000005</v>
      </c>
      <c r="I80" s="94">
        <f t="shared" si="5"/>
        <v>2.0582000000000003</v>
      </c>
      <c r="J80" s="93">
        <f t="shared" si="6"/>
        <v>1.0291000000000001</v>
      </c>
      <c r="K80" s="94">
        <f t="shared" si="7"/>
        <v>0.68538060000000012</v>
      </c>
      <c r="L80" s="93">
        <f t="shared" si="8"/>
        <v>0.51455000000000006</v>
      </c>
      <c r="M80" s="94">
        <f t="shared" si="9"/>
        <v>0.41164000000000006</v>
      </c>
    </row>
    <row r="81" spans="1:13" x14ac:dyDescent="0.3">
      <c r="A81" s="90">
        <v>1949</v>
      </c>
      <c r="B81" s="91">
        <v>4.4000000000000003E-3</v>
      </c>
      <c r="C81" s="92">
        <v>4.4000000000000003E-3</v>
      </c>
      <c r="D81" s="93">
        <f t="shared" ref="D81:D144" si="10">SUM($B81)*502</f>
        <v>2.2088000000000001</v>
      </c>
      <c r="E81" s="94">
        <f t="shared" ref="E81:E144" si="11">SUM($B81)*502*5</f>
        <v>11.044</v>
      </c>
      <c r="F81" s="93">
        <f t="shared" ref="F81:F144" si="12">SUM($B81)*502*4</f>
        <v>8.8352000000000004</v>
      </c>
      <c r="G81" s="94">
        <f t="shared" ref="G81:G144" si="13">SUM($B81)*502*3</f>
        <v>6.6264000000000003</v>
      </c>
      <c r="H81" s="93">
        <f t="shared" ref="H81:H144" si="14">SUM($B81)*502*2</f>
        <v>4.4176000000000002</v>
      </c>
      <c r="I81" s="94">
        <f t="shared" ref="I81:I144" si="15">SUM($B81)*502</f>
        <v>2.2088000000000001</v>
      </c>
      <c r="J81" s="93">
        <f t="shared" ref="J81:J144" si="16">SUM($B81)*502*0.5</f>
        <v>1.1044</v>
      </c>
      <c r="K81" s="94">
        <f t="shared" ref="K81:K144" si="17">SUM($B81)*502*0.333</f>
        <v>0.73553040000000003</v>
      </c>
      <c r="L81" s="93">
        <f t="shared" ref="L81:L144" si="18">SUM($B81)*502*0.25</f>
        <v>0.55220000000000002</v>
      </c>
      <c r="M81" s="94">
        <f t="shared" ref="M81:M144" si="19">SUM($B81)*502*0.2</f>
        <v>0.44176000000000004</v>
      </c>
    </row>
    <row r="82" spans="1:13" x14ac:dyDescent="0.3">
      <c r="A82" s="90">
        <v>1950</v>
      </c>
      <c r="B82" s="91">
        <v>5.1000000000000004E-3</v>
      </c>
      <c r="C82" s="92">
        <v>5.1000000000000004E-3</v>
      </c>
      <c r="D82" s="93">
        <f t="shared" si="10"/>
        <v>2.5602</v>
      </c>
      <c r="E82" s="94">
        <f t="shared" si="11"/>
        <v>12.801</v>
      </c>
      <c r="F82" s="93">
        <f t="shared" si="12"/>
        <v>10.2408</v>
      </c>
      <c r="G82" s="94">
        <f t="shared" si="13"/>
        <v>7.6806000000000001</v>
      </c>
      <c r="H82" s="93">
        <f t="shared" si="14"/>
        <v>5.1204000000000001</v>
      </c>
      <c r="I82" s="94">
        <f t="shared" si="15"/>
        <v>2.5602</v>
      </c>
      <c r="J82" s="93">
        <f t="shared" si="16"/>
        <v>1.2801</v>
      </c>
      <c r="K82" s="94">
        <f t="shared" si="17"/>
        <v>0.85254660000000004</v>
      </c>
      <c r="L82" s="93">
        <f t="shared" si="18"/>
        <v>0.64005000000000001</v>
      </c>
      <c r="M82" s="94">
        <f t="shared" si="19"/>
        <v>0.51204000000000005</v>
      </c>
    </row>
    <row r="83" spans="1:13" x14ac:dyDescent="0.3">
      <c r="A83" s="90">
        <v>1951</v>
      </c>
      <c r="B83" s="91">
        <v>5.3E-3</v>
      </c>
      <c r="C83" s="92">
        <v>5.3E-3</v>
      </c>
      <c r="D83" s="93">
        <f t="shared" si="10"/>
        <v>2.6606000000000001</v>
      </c>
      <c r="E83" s="94">
        <f t="shared" si="11"/>
        <v>13.303000000000001</v>
      </c>
      <c r="F83" s="93">
        <f t="shared" si="12"/>
        <v>10.6424</v>
      </c>
      <c r="G83" s="94">
        <f t="shared" si="13"/>
        <v>7.9817999999999998</v>
      </c>
      <c r="H83" s="93">
        <f t="shared" si="14"/>
        <v>5.3212000000000002</v>
      </c>
      <c r="I83" s="94">
        <f t="shared" si="15"/>
        <v>2.6606000000000001</v>
      </c>
      <c r="J83" s="93">
        <f t="shared" si="16"/>
        <v>1.3303</v>
      </c>
      <c r="K83" s="94">
        <f t="shared" si="17"/>
        <v>0.8859798000000001</v>
      </c>
      <c r="L83" s="93">
        <f t="shared" si="18"/>
        <v>0.66515000000000002</v>
      </c>
      <c r="M83" s="94">
        <f t="shared" si="19"/>
        <v>0.53212000000000004</v>
      </c>
    </row>
    <row r="84" spans="1:13" x14ac:dyDescent="0.3">
      <c r="A84" s="90">
        <v>1952</v>
      </c>
      <c r="B84" s="91">
        <v>5.7000000000000002E-3</v>
      </c>
      <c r="C84" s="92">
        <v>5.7000000000000002E-3</v>
      </c>
      <c r="D84" s="93">
        <f t="shared" si="10"/>
        <v>2.8614000000000002</v>
      </c>
      <c r="E84" s="94">
        <f t="shared" si="11"/>
        <v>14.307</v>
      </c>
      <c r="F84" s="93">
        <f t="shared" si="12"/>
        <v>11.445600000000001</v>
      </c>
      <c r="G84" s="94">
        <f t="shared" si="13"/>
        <v>8.5842000000000009</v>
      </c>
      <c r="H84" s="93">
        <f t="shared" si="14"/>
        <v>5.7228000000000003</v>
      </c>
      <c r="I84" s="94">
        <f t="shared" si="15"/>
        <v>2.8614000000000002</v>
      </c>
      <c r="J84" s="93">
        <f t="shared" si="16"/>
        <v>1.4307000000000001</v>
      </c>
      <c r="K84" s="94">
        <f t="shared" si="17"/>
        <v>0.95284620000000009</v>
      </c>
      <c r="L84" s="93">
        <f t="shared" si="18"/>
        <v>0.71535000000000004</v>
      </c>
      <c r="M84" s="94">
        <f t="shared" si="19"/>
        <v>0.57228000000000001</v>
      </c>
    </row>
    <row r="85" spans="1:13" x14ac:dyDescent="0.3">
      <c r="A85" s="90">
        <v>1953</v>
      </c>
      <c r="B85" s="91">
        <v>5.7000000000000002E-3</v>
      </c>
      <c r="C85" s="92">
        <v>5.7000000000000002E-3</v>
      </c>
      <c r="D85" s="93">
        <f t="shared" si="10"/>
        <v>2.8614000000000002</v>
      </c>
      <c r="E85" s="94">
        <f t="shared" si="11"/>
        <v>14.307</v>
      </c>
      <c r="F85" s="93">
        <f t="shared" si="12"/>
        <v>11.445600000000001</v>
      </c>
      <c r="G85" s="94">
        <f t="shared" si="13"/>
        <v>8.5842000000000009</v>
      </c>
      <c r="H85" s="93">
        <f t="shared" si="14"/>
        <v>5.7228000000000003</v>
      </c>
      <c r="I85" s="94">
        <f t="shared" si="15"/>
        <v>2.8614000000000002</v>
      </c>
      <c r="J85" s="93">
        <f t="shared" si="16"/>
        <v>1.4307000000000001</v>
      </c>
      <c r="K85" s="94">
        <f t="shared" si="17"/>
        <v>0.95284620000000009</v>
      </c>
      <c r="L85" s="93">
        <f t="shared" si="18"/>
        <v>0.71535000000000004</v>
      </c>
      <c r="M85" s="94">
        <f t="shared" si="19"/>
        <v>0.57228000000000001</v>
      </c>
    </row>
    <row r="86" spans="1:13" x14ac:dyDescent="0.3">
      <c r="A86" s="90">
        <v>1954</v>
      </c>
      <c r="B86" s="91">
        <v>5.3E-3</v>
      </c>
      <c r="C86" s="92">
        <v>5.3E-3</v>
      </c>
      <c r="D86" s="93">
        <f t="shared" si="10"/>
        <v>2.6606000000000001</v>
      </c>
      <c r="E86" s="94">
        <f t="shared" si="11"/>
        <v>13.303000000000001</v>
      </c>
      <c r="F86" s="93">
        <f t="shared" si="12"/>
        <v>10.6424</v>
      </c>
      <c r="G86" s="94">
        <f t="shared" si="13"/>
        <v>7.9817999999999998</v>
      </c>
      <c r="H86" s="93">
        <f t="shared" si="14"/>
        <v>5.3212000000000002</v>
      </c>
      <c r="I86" s="94">
        <f t="shared" si="15"/>
        <v>2.6606000000000001</v>
      </c>
      <c r="J86" s="93">
        <f t="shared" si="16"/>
        <v>1.3303</v>
      </c>
      <c r="K86" s="94">
        <f t="shared" si="17"/>
        <v>0.8859798000000001</v>
      </c>
      <c r="L86" s="93">
        <f t="shared" si="18"/>
        <v>0.66515000000000002</v>
      </c>
      <c r="M86" s="94">
        <f t="shared" si="19"/>
        <v>0.53212000000000004</v>
      </c>
    </row>
    <row r="87" spans="1:13" x14ac:dyDescent="0.3">
      <c r="A87" s="90">
        <v>1955</v>
      </c>
      <c r="B87" s="91">
        <v>6.1000000000000004E-3</v>
      </c>
      <c r="C87" s="92">
        <v>6.1000000000000004E-3</v>
      </c>
      <c r="D87" s="93">
        <f t="shared" si="10"/>
        <v>3.0622000000000003</v>
      </c>
      <c r="E87" s="94">
        <f t="shared" si="11"/>
        <v>15.311000000000002</v>
      </c>
      <c r="F87" s="93">
        <f t="shared" si="12"/>
        <v>12.248800000000001</v>
      </c>
      <c r="G87" s="94">
        <f t="shared" si="13"/>
        <v>9.1866000000000003</v>
      </c>
      <c r="H87" s="93">
        <f t="shared" si="14"/>
        <v>6.1244000000000005</v>
      </c>
      <c r="I87" s="94">
        <f t="shared" si="15"/>
        <v>3.0622000000000003</v>
      </c>
      <c r="J87" s="93">
        <f t="shared" si="16"/>
        <v>1.5311000000000001</v>
      </c>
      <c r="K87" s="94">
        <f t="shared" si="17"/>
        <v>1.0197126000000001</v>
      </c>
      <c r="L87" s="93">
        <f t="shared" si="18"/>
        <v>0.76555000000000006</v>
      </c>
      <c r="M87" s="94">
        <f t="shared" si="19"/>
        <v>0.6124400000000001</v>
      </c>
    </row>
    <row r="88" spans="1:13" x14ac:dyDescent="0.3">
      <c r="A88" s="90">
        <v>1956</v>
      </c>
      <c r="B88" s="91">
        <v>5.7000000000000002E-3</v>
      </c>
      <c r="C88" s="92">
        <v>5.7000000000000002E-3</v>
      </c>
      <c r="D88" s="93">
        <f t="shared" si="10"/>
        <v>2.8614000000000002</v>
      </c>
      <c r="E88" s="94">
        <f t="shared" si="11"/>
        <v>14.307</v>
      </c>
      <c r="F88" s="93">
        <f t="shared" si="12"/>
        <v>11.445600000000001</v>
      </c>
      <c r="G88" s="94">
        <f t="shared" si="13"/>
        <v>8.5842000000000009</v>
      </c>
      <c r="H88" s="93">
        <f t="shared" si="14"/>
        <v>5.7228000000000003</v>
      </c>
      <c r="I88" s="94">
        <f t="shared" si="15"/>
        <v>2.8614000000000002</v>
      </c>
      <c r="J88" s="93">
        <f t="shared" si="16"/>
        <v>1.4307000000000001</v>
      </c>
      <c r="K88" s="94">
        <f t="shared" si="17"/>
        <v>0.95284620000000009</v>
      </c>
      <c r="L88" s="93">
        <f t="shared" si="18"/>
        <v>0.71535000000000004</v>
      </c>
      <c r="M88" s="94">
        <f t="shared" si="19"/>
        <v>0.57228000000000001</v>
      </c>
    </row>
    <row r="89" spans="1:13" x14ac:dyDescent="0.3">
      <c r="A89" s="90">
        <v>1957</v>
      </c>
      <c r="B89" s="91">
        <v>6.0000000000000001E-3</v>
      </c>
      <c r="C89" s="92">
        <v>6.0000000000000001E-3</v>
      </c>
      <c r="D89" s="93">
        <f t="shared" si="10"/>
        <v>3.012</v>
      </c>
      <c r="E89" s="94">
        <f t="shared" si="11"/>
        <v>15.06</v>
      </c>
      <c r="F89" s="93">
        <f t="shared" si="12"/>
        <v>12.048</v>
      </c>
      <c r="G89" s="94">
        <f t="shared" si="13"/>
        <v>9.0359999999999996</v>
      </c>
      <c r="H89" s="93">
        <f t="shared" si="14"/>
        <v>6.024</v>
      </c>
      <c r="I89" s="94">
        <f t="shared" si="15"/>
        <v>3.012</v>
      </c>
      <c r="J89" s="93">
        <f t="shared" si="16"/>
        <v>1.506</v>
      </c>
      <c r="K89" s="94">
        <f t="shared" si="17"/>
        <v>1.002996</v>
      </c>
      <c r="L89" s="93">
        <f t="shared" si="18"/>
        <v>0.753</v>
      </c>
      <c r="M89" s="94">
        <f t="shared" si="19"/>
        <v>0.60240000000000005</v>
      </c>
    </row>
    <row r="90" spans="1:13" x14ac:dyDescent="0.3">
      <c r="A90" s="90">
        <v>1958</v>
      </c>
      <c r="B90" s="91">
        <v>6.0000000000000001E-3</v>
      </c>
      <c r="C90" s="92">
        <v>6.0000000000000001E-3</v>
      </c>
      <c r="D90" s="93">
        <f t="shared" si="10"/>
        <v>3.012</v>
      </c>
      <c r="E90" s="94">
        <f t="shared" si="11"/>
        <v>15.06</v>
      </c>
      <c r="F90" s="93">
        <f t="shared" si="12"/>
        <v>12.048</v>
      </c>
      <c r="G90" s="94">
        <f t="shared" si="13"/>
        <v>9.0359999999999996</v>
      </c>
      <c r="H90" s="93">
        <f t="shared" si="14"/>
        <v>6.024</v>
      </c>
      <c r="I90" s="94">
        <f t="shared" si="15"/>
        <v>3.012</v>
      </c>
      <c r="J90" s="93">
        <f t="shared" si="16"/>
        <v>1.506</v>
      </c>
      <c r="K90" s="94">
        <f t="shared" si="17"/>
        <v>1.002996</v>
      </c>
      <c r="L90" s="93">
        <f t="shared" si="18"/>
        <v>0.753</v>
      </c>
      <c r="M90" s="94">
        <f t="shared" si="19"/>
        <v>0.60240000000000005</v>
      </c>
    </row>
    <row r="91" spans="1:13" x14ac:dyDescent="0.3">
      <c r="A91" s="90">
        <v>1959</v>
      </c>
      <c r="B91" s="91">
        <v>5.8999999999999999E-3</v>
      </c>
      <c r="C91" s="92">
        <v>5.8999999999999999E-3</v>
      </c>
      <c r="D91" s="93">
        <f t="shared" si="10"/>
        <v>2.9617999999999998</v>
      </c>
      <c r="E91" s="94">
        <f t="shared" si="11"/>
        <v>14.808999999999999</v>
      </c>
      <c r="F91" s="93">
        <f t="shared" si="12"/>
        <v>11.847199999999999</v>
      </c>
      <c r="G91" s="94">
        <f t="shared" si="13"/>
        <v>8.8853999999999989</v>
      </c>
      <c r="H91" s="93">
        <f t="shared" si="14"/>
        <v>5.9235999999999995</v>
      </c>
      <c r="I91" s="94">
        <f t="shared" si="15"/>
        <v>2.9617999999999998</v>
      </c>
      <c r="J91" s="93">
        <f t="shared" si="16"/>
        <v>1.4808999999999999</v>
      </c>
      <c r="K91" s="94">
        <f t="shared" si="17"/>
        <v>0.98627940000000003</v>
      </c>
      <c r="L91" s="93">
        <f t="shared" si="18"/>
        <v>0.74044999999999994</v>
      </c>
      <c r="M91" s="94">
        <f t="shared" si="19"/>
        <v>0.59236</v>
      </c>
    </row>
    <row r="92" spans="1:13" x14ac:dyDescent="0.3">
      <c r="A92" s="90">
        <v>1960</v>
      </c>
      <c r="B92" s="91">
        <v>5.7999999999999996E-3</v>
      </c>
      <c r="C92" s="92">
        <v>5.7999999999999996E-3</v>
      </c>
      <c r="D92" s="93">
        <f t="shared" si="10"/>
        <v>2.9116</v>
      </c>
      <c r="E92" s="94">
        <f t="shared" si="11"/>
        <v>14.558</v>
      </c>
      <c r="F92" s="93">
        <f t="shared" si="12"/>
        <v>11.6464</v>
      </c>
      <c r="G92" s="94">
        <f t="shared" si="13"/>
        <v>8.7347999999999999</v>
      </c>
      <c r="H92" s="93">
        <f t="shared" si="14"/>
        <v>5.8231999999999999</v>
      </c>
      <c r="I92" s="94">
        <f t="shared" si="15"/>
        <v>2.9116</v>
      </c>
      <c r="J92" s="93">
        <f t="shared" si="16"/>
        <v>1.4558</v>
      </c>
      <c r="K92" s="94">
        <f t="shared" si="17"/>
        <v>0.96956280000000006</v>
      </c>
      <c r="L92" s="93">
        <f t="shared" si="18"/>
        <v>0.72789999999999999</v>
      </c>
      <c r="M92" s="94">
        <f t="shared" si="19"/>
        <v>0.58232000000000006</v>
      </c>
    </row>
    <row r="93" spans="1:13" x14ac:dyDescent="0.3">
      <c r="A93" s="90">
        <v>1961</v>
      </c>
      <c r="B93" s="91">
        <v>5.8999999999999999E-3</v>
      </c>
      <c r="C93" s="92">
        <v>5.8999999999999999E-3</v>
      </c>
      <c r="D93" s="93">
        <f t="shared" si="10"/>
        <v>2.9617999999999998</v>
      </c>
      <c r="E93" s="94">
        <f t="shared" si="11"/>
        <v>14.808999999999999</v>
      </c>
      <c r="F93" s="93">
        <f t="shared" si="12"/>
        <v>11.847199999999999</v>
      </c>
      <c r="G93" s="94">
        <f t="shared" si="13"/>
        <v>8.8853999999999989</v>
      </c>
      <c r="H93" s="93">
        <f t="shared" si="14"/>
        <v>5.9235999999999995</v>
      </c>
      <c r="I93" s="94">
        <f t="shared" si="15"/>
        <v>2.9617999999999998</v>
      </c>
      <c r="J93" s="93">
        <f t="shared" si="16"/>
        <v>1.4808999999999999</v>
      </c>
      <c r="K93" s="94">
        <f t="shared" si="17"/>
        <v>0.98627940000000003</v>
      </c>
      <c r="L93" s="93">
        <f t="shared" si="18"/>
        <v>0.74044999999999994</v>
      </c>
      <c r="M93" s="94">
        <f t="shared" si="19"/>
        <v>0.59236</v>
      </c>
    </row>
    <row r="94" spans="1:13" x14ac:dyDescent="0.3">
      <c r="A94" s="90">
        <v>1962</v>
      </c>
      <c r="B94" s="91">
        <v>6.4000000000000003E-3</v>
      </c>
      <c r="C94" s="92">
        <v>6.4000000000000003E-3</v>
      </c>
      <c r="D94" s="93">
        <f t="shared" si="10"/>
        <v>3.2128000000000001</v>
      </c>
      <c r="E94" s="94">
        <f t="shared" si="11"/>
        <v>16.064</v>
      </c>
      <c r="F94" s="93">
        <f t="shared" si="12"/>
        <v>12.8512</v>
      </c>
      <c r="G94" s="94">
        <f t="shared" si="13"/>
        <v>9.6384000000000007</v>
      </c>
      <c r="H94" s="93">
        <f t="shared" si="14"/>
        <v>6.4256000000000002</v>
      </c>
      <c r="I94" s="94">
        <f t="shared" si="15"/>
        <v>3.2128000000000001</v>
      </c>
      <c r="J94" s="93">
        <f t="shared" si="16"/>
        <v>1.6064000000000001</v>
      </c>
      <c r="K94" s="94">
        <f t="shared" si="17"/>
        <v>1.0698624000000001</v>
      </c>
      <c r="L94" s="93">
        <f t="shared" si="18"/>
        <v>0.80320000000000003</v>
      </c>
      <c r="M94" s="94">
        <f t="shared" si="19"/>
        <v>0.64256000000000002</v>
      </c>
    </row>
    <row r="95" spans="1:13" x14ac:dyDescent="0.3">
      <c r="A95" s="90">
        <v>1963</v>
      </c>
      <c r="B95" s="91">
        <v>6.4999999999999997E-3</v>
      </c>
      <c r="C95" s="92">
        <v>6.4999999999999997E-3</v>
      </c>
      <c r="D95" s="93">
        <f t="shared" si="10"/>
        <v>3.2629999999999999</v>
      </c>
      <c r="E95" s="94">
        <f t="shared" si="11"/>
        <v>16.314999999999998</v>
      </c>
      <c r="F95" s="93">
        <f t="shared" si="12"/>
        <v>13.052</v>
      </c>
      <c r="G95" s="94">
        <f t="shared" si="13"/>
        <v>9.7889999999999997</v>
      </c>
      <c r="H95" s="93">
        <f t="shared" si="14"/>
        <v>6.5259999999999998</v>
      </c>
      <c r="I95" s="94">
        <f t="shared" si="15"/>
        <v>3.2629999999999999</v>
      </c>
      <c r="J95" s="93">
        <f t="shared" si="16"/>
        <v>1.6315</v>
      </c>
      <c r="K95" s="94">
        <f t="shared" si="17"/>
        <v>1.086579</v>
      </c>
      <c r="L95" s="93">
        <f t="shared" si="18"/>
        <v>0.81574999999999998</v>
      </c>
      <c r="M95" s="94">
        <f t="shared" si="19"/>
        <v>0.65260000000000007</v>
      </c>
    </row>
    <row r="96" spans="1:13" x14ac:dyDescent="0.3">
      <c r="A96" s="90">
        <v>1964</v>
      </c>
      <c r="B96" s="91">
        <v>6.3E-3</v>
      </c>
      <c r="C96" s="92">
        <v>6.3E-3</v>
      </c>
      <c r="D96" s="93">
        <f t="shared" si="10"/>
        <v>3.1625999999999999</v>
      </c>
      <c r="E96" s="94">
        <f t="shared" si="11"/>
        <v>15.812999999999999</v>
      </c>
      <c r="F96" s="93">
        <f t="shared" si="12"/>
        <v>12.650399999999999</v>
      </c>
      <c r="G96" s="94">
        <f t="shared" si="13"/>
        <v>9.4878</v>
      </c>
      <c r="H96" s="93">
        <f t="shared" si="14"/>
        <v>6.3251999999999997</v>
      </c>
      <c r="I96" s="94">
        <f t="shared" si="15"/>
        <v>3.1625999999999999</v>
      </c>
      <c r="J96" s="93">
        <f t="shared" si="16"/>
        <v>1.5812999999999999</v>
      </c>
      <c r="K96" s="94">
        <f t="shared" si="17"/>
        <v>1.0531458</v>
      </c>
      <c r="L96" s="93">
        <f t="shared" si="18"/>
        <v>0.79064999999999996</v>
      </c>
      <c r="M96" s="94">
        <f t="shared" si="19"/>
        <v>0.63251999999999997</v>
      </c>
    </row>
    <row r="97" spans="1:13" x14ac:dyDescent="0.3">
      <c r="A97" s="90">
        <v>1965</v>
      </c>
      <c r="B97" s="91">
        <v>6.6E-3</v>
      </c>
      <c r="C97" s="92">
        <v>6.6E-3</v>
      </c>
      <c r="D97" s="93">
        <f t="shared" si="10"/>
        <v>3.3132000000000001</v>
      </c>
      <c r="E97" s="94">
        <f t="shared" si="11"/>
        <v>16.566000000000003</v>
      </c>
      <c r="F97" s="93">
        <f t="shared" si="12"/>
        <v>13.252800000000001</v>
      </c>
      <c r="G97" s="94">
        <f t="shared" si="13"/>
        <v>9.9396000000000004</v>
      </c>
      <c r="H97" s="93">
        <f t="shared" si="14"/>
        <v>6.6264000000000003</v>
      </c>
      <c r="I97" s="94">
        <f t="shared" si="15"/>
        <v>3.3132000000000001</v>
      </c>
      <c r="J97" s="93">
        <f t="shared" si="16"/>
        <v>1.6566000000000001</v>
      </c>
      <c r="K97" s="94">
        <f t="shared" si="17"/>
        <v>1.1032956</v>
      </c>
      <c r="L97" s="93">
        <f t="shared" si="18"/>
        <v>0.82830000000000004</v>
      </c>
      <c r="M97" s="94">
        <f t="shared" si="19"/>
        <v>0.66264000000000012</v>
      </c>
    </row>
    <row r="98" spans="1:13" x14ac:dyDescent="0.3">
      <c r="A98" s="90">
        <v>1966</v>
      </c>
      <c r="B98" s="91">
        <v>6.1999999999999998E-3</v>
      </c>
      <c r="C98" s="92">
        <v>6.1999999999999998E-3</v>
      </c>
      <c r="D98" s="93">
        <f t="shared" si="10"/>
        <v>3.1124000000000001</v>
      </c>
      <c r="E98" s="94">
        <f t="shared" si="11"/>
        <v>15.562000000000001</v>
      </c>
      <c r="F98" s="93">
        <f t="shared" si="12"/>
        <v>12.4496</v>
      </c>
      <c r="G98" s="94">
        <f t="shared" si="13"/>
        <v>9.3371999999999993</v>
      </c>
      <c r="H98" s="93">
        <f t="shared" si="14"/>
        <v>6.2248000000000001</v>
      </c>
      <c r="I98" s="94">
        <f t="shared" si="15"/>
        <v>3.1124000000000001</v>
      </c>
      <c r="J98" s="93">
        <f t="shared" si="16"/>
        <v>1.5562</v>
      </c>
      <c r="K98" s="94">
        <f t="shared" si="17"/>
        <v>1.0364292000000002</v>
      </c>
      <c r="L98" s="93">
        <f t="shared" si="18"/>
        <v>0.77810000000000001</v>
      </c>
      <c r="M98" s="94">
        <f t="shared" si="19"/>
        <v>0.62248000000000003</v>
      </c>
    </row>
    <row r="99" spans="1:13" x14ac:dyDescent="0.3">
      <c r="A99" s="90">
        <v>1967</v>
      </c>
      <c r="B99" s="91">
        <v>6.8999999999999999E-3</v>
      </c>
      <c r="C99" s="92">
        <v>6.8999999999999999E-3</v>
      </c>
      <c r="D99" s="93">
        <f t="shared" si="10"/>
        <v>3.4638</v>
      </c>
      <c r="E99" s="94">
        <f t="shared" si="11"/>
        <v>17.318999999999999</v>
      </c>
      <c r="F99" s="93">
        <f t="shared" si="12"/>
        <v>13.8552</v>
      </c>
      <c r="G99" s="94">
        <f t="shared" si="13"/>
        <v>10.391400000000001</v>
      </c>
      <c r="H99" s="93">
        <f t="shared" si="14"/>
        <v>6.9276</v>
      </c>
      <c r="I99" s="94">
        <f t="shared" si="15"/>
        <v>3.4638</v>
      </c>
      <c r="J99" s="93">
        <f t="shared" si="16"/>
        <v>1.7319</v>
      </c>
      <c r="K99" s="94">
        <f t="shared" si="17"/>
        <v>1.1534454000000001</v>
      </c>
      <c r="L99" s="93">
        <f t="shared" si="18"/>
        <v>0.86595</v>
      </c>
      <c r="M99" s="94">
        <f t="shared" si="19"/>
        <v>0.69276000000000004</v>
      </c>
    </row>
    <row r="100" spans="1:13" x14ac:dyDescent="0.3">
      <c r="A100" s="90">
        <v>1968</v>
      </c>
      <c r="B100" s="91">
        <v>7.1999999999999998E-3</v>
      </c>
      <c r="C100" s="92">
        <v>7.1999999999999998E-3</v>
      </c>
      <c r="D100" s="93">
        <f t="shared" si="10"/>
        <v>3.6143999999999998</v>
      </c>
      <c r="E100" s="94">
        <f t="shared" si="11"/>
        <v>18.071999999999999</v>
      </c>
      <c r="F100" s="93">
        <f t="shared" si="12"/>
        <v>14.457599999999999</v>
      </c>
      <c r="G100" s="94">
        <f t="shared" si="13"/>
        <v>10.8432</v>
      </c>
      <c r="H100" s="93">
        <f t="shared" si="14"/>
        <v>7.2287999999999997</v>
      </c>
      <c r="I100" s="94">
        <f t="shared" si="15"/>
        <v>3.6143999999999998</v>
      </c>
      <c r="J100" s="93">
        <f t="shared" si="16"/>
        <v>1.8071999999999999</v>
      </c>
      <c r="K100" s="94">
        <f t="shared" si="17"/>
        <v>1.2035952000000001</v>
      </c>
      <c r="L100" s="93">
        <f t="shared" si="18"/>
        <v>0.90359999999999996</v>
      </c>
      <c r="M100" s="94">
        <f t="shared" si="19"/>
        <v>0.72287999999999997</v>
      </c>
    </row>
    <row r="101" spans="1:13" x14ac:dyDescent="0.3">
      <c r="A101" s="90">
        <v>1969</v>
      </c>
      <c r="B101" s="91">
        <v>6.7000000000000002E-3</v>
      </c>
      <c r="C101" s="92">
        <v>6.7000000000000002E-3</v>
      </c>
      <c r="D101" s="93">
        <f t="shared" si="10"/>
        <v>3.3633999999999999</v>
      </c>
      <c r="E101" s="94">
        <f t="shared" si="11"/>
        <v>16.817</v>
      </c>
      <c r="F101" s="93">
        <f t="shared" si="12"/>
        <v>13.4536</v>
      </c>
      <c r="G101" s="94">
        <f t="shared" si="13"/>
        <v>10.090199999999999</v>
      </c>
      <c r="H101" s="93">
        <f t="shared" si="14"/>
        <v>6.7267999999999999</v>
      </c>
      <c r="I101" s="94">
        <f t="shared" si="15"/>
        <v>3.3633999999999999</v>
      </c>
      <c r="J101" s="93">
        <f t="shared" si="16"/>
        <v>1.6817</v>
      </c>
      <c r="K101" s="94">
        <f t="shared" si="17"/>
        <v>1.1200122000000001</v>
      </c>
      <c r="L101" s="93">
        <f t="shared" si="18"/>
        <v>0.84084999999999999</v>
      </c>
      <c r="M101" s="94">
        <f t="shared" si="19"/>
        <v>0.67268000000000006</v>
      </c>
    </row>
    <row r="102" spans="1:13" x14ac:dyDescent="0.3">
      <c r="A102" s="90">
        <v>1970</v>
      </c>
      <c r="B102" s="91">
        <v>6.1999999999999998E-3</v>
      </c>
      <c r="C102" s="92">
        <v>6.1999999999999998E-3</v>
      </c>
      <c r="D102" s="93">
        <f t="shared" si="10"/>
        <v>3.1124000000000001</v>
      </c>
      <c r="E102" s="94">
        <f t="shared" si="11"/>
        <v>15.562000000000001</v>
      </c>
      <c r="F102" s="93">
        <f t="shared" si="12"/>
        <v>12.4496</v>
      </c>
      <c r="G102" s="94">
        <f t="shared" si="13"/>
        <v>9.3371999999999993</v>
      </c>
      <c r="H102" s="93">
        <f t="shared" si="14"/>
        <v>6.2248000000000001</v>
      </c>
      <c r="I102" s="94">
        <f t="shared" si="15"/>
        <v>3.1124000000000001</v>
      </c>
      <c r="J102" s="93">
        <f t="shared" si="16"/>
        <v>1.5562</v>
      </c>
      <c r="K102" s="94">
        <f t="shared" si="17"/>
        <v>1.0364292000000002</v>
      </c>
      <c r="L102" s="93">
        <f t="shared" si="18"/>
        <v>0.77810000000000001</v>
      </c>
      <c r="M102" s="94">
        <f t="shared" si="19"/>
        <v>0.62248000000000003</v>
      </c>
    </row>
    <row r="103" spans="1:13" x14ac:dyDescent="0.3">
      <c r="A103" s="90">
        <v>1971</v>
      </c>
      <c r="B103" s="91">
        <v>6.3E-3</v>
      </c>
      <c r="C103" s="92">
        <v>6.3E-3</v>
      </c>
      <c r="D103" s="93">
        <f t="shared" si="10"/>
        <v>3.1625999999999999</v>
      </c>
      <c r="E103" s="94">
        <f t="shared" si="11"/>
        <v>15.812999999999999</v>
      </c>
      <c r="F103" s="93">
        <f t="shared" si="12"/>
        <v>12.650399999999999</v>
      </c>
      <c r="G103" s="94">
        <f t="shared" si="13"/>
        <v>9.4878</v>
      </c>
      <c r="H103" s="93">
        <f t="shared" si="14"/>
        <v>6.3251999999999997</v>
      </c>
      <c r="I103" s="94">
        <f t="shared" si="15"/>
        <v>3.1625999999999999</v>
      </c>
      <c r="J103" s="93">
        <f t="shared" si="16"/>
        <v>1.5812999999999999</v>
      </c>
      <c r="K103" s="94">
        <f t="shared" si="17"/>
        <v>1.0531458</v>
      </c>
      <c r="L103" s="93">
        <f t="shared" si="18"/>
        <v>0.79064999999999996</v>
      </c>
      <c r="M103" s="94">
        <f t="shared" si="19"/>
        <v>0.63251999999999997</v>
      </c>
    </row>
    <row r="104" spans="1:13" x14ac:dyDescent="0.3">
      <c r="A104" s="90">
        <v>1972</v>
      </c>
      <c r="B104" s="91">
        <v>6.0000000000000001E-3</v>
      </c>
      <c r="C104" s="92">
        <v>6.0000000000000001E-3</v>
      </c>
      <c r="D104" s="93">
        <f t="shared" si="10"/>
        <v>3.012</v>
      </c>
      <c r="E104" s="94">
        <f t="shared" si="11"/>
        <v>15.06</v>
      </c>
      <c r="F104" s="93">
        <f t="shared" si="12"/>
        <v>12.048</v>
      </c>
      <c r="G104" s="94">
        <f t="shared" si="13"/>
        <v>9.0359999999999996</v>
      </c>
      <c r="H104" s="93">
        <f t="shared" si="14"/>
        <v>6.024</v>
      </c>
      <c r="I104" s="94">
        <f t="shared" si="15"/>
        <v>3.012</v>
      </c>
      <c r="J104" s="93">
        <f t="shared" si="16"/>
        <v>1.506</v>
      </c>
      <c r="K104" s="94">
        <f t="shared" si="17"/>
        <v>1.002996</v>
      </c>
      <c r="L104" s="93">
        <f t="shared" si="18"/>
        <v>0.753</v>
      </c>
      <c r="M104" s="94">
        <f t="shared" si="19"/>
        <v>0.60240000000000005</v>
      </c>
    </row>
    <row r="105" spans="1:13" x14ac:dyDescent="0.3">
      <c r="A105" s="90">
        <v>1973</v>
      </c>
      <c r="B105" s="91">
        <v>5.7000000000000002E-3</v>
      </c>
      <c r="C105" s="92">
        <v>5.7000000000000002E-3</v>
      </c>
      <c r="D105" s="93">
        <f t="shared" si="10"/>
        <v>2.8614000000000002</v>
      </c>
      <c r="E105" s="94">
        <f t="shared" si="11"/>
        <v>14.307</v>
      </c>
      <c r="F105" s="93">
        <f t="shared" si="12"/>
        <v>11.445600000000001</v>
      </c>
      <c r="G105" s="94">
        <f t="shared" si="13"/>
        <v>8.5842000000000009</v>
      </c>
      <c r="H105" s="93">
        <f t="shared" si="14"/>
        <v>5.7228000000000003</v>
      </c>
      <c r="I105" s="94">
        <f t="shared" si="15"/>
        <v>2.8614000000000002</v>
      </c>
      <c r="J105" s="93">
        <f t="shared" si="16"/>
        <v>1.4307000000000001</v>
      </c>
      <c r="K105" s="94">
        <f t="shared" si="17"/>
        <v>0.95284620000000009</v>
      </c>
      <c r="L105" s="93">
        <f t="shared" si="18"/>
        <v>0.71535000000000004</v>
      </c>
      <c r="M105" s="94">
        <f t="shared" si="19"/>
        <v>0.57228000000000001</v>
      </c>
    </row>
    <row r="106" spans="1:13" x14ac:dyDescent="0.3">
      <c r="A106" s="90">
        <v>1974</v>
      </c>
      <c r="B106" s="91">
        <v>5.8999999999999999E-3</v>
      </c>
      <c r="C106" s="92">
        <v>5.8999999999999999E-3</v>
      </c>
      <c r="D106" s="93">
        <f t="shared" si="10"/>
        <v>2.9617999999999998</v>
      </c>
      <c r="E106" s="94">
        <f t="shared" si="11"/>
        <v>14.808999999999999</v>
      </c>
      <c r="F106" s="93">
        <f t="shared" si="12"/>
        <v>11.847199999999999</v>
      </c>
      <c r="G106" s="94">
        <f t="shared" si="13"/>
        <v>8.8853999999999989</v>
      </c>
      <c r="H106" s="93">
        <f t="shared" si="14"/>
        <v>5.9235999999999995</v>
      </c>
      <c r="I106" s="94">
        <f t="shared" si="15"/>
        <v>2.9617999999999998</v>
      </c>
      <c r="J106" s="93">
        <f t="shared" si="16"/>
        <v>1.4808999999999999</v>
      </c>
      <c r="K106" s="94">
        <f t="shared" si="17"/>
        <v>0.98627940000000003</v>
      </c>
      <c r="L106" s="93">
        <f t="shared" si="18"/>
        <v>0.74044999999999994</v>
      </c>
      <c r="M106" s="94">
        <f t="shared" si="19"/>
        <v>0.59236</v>
      </c>
    </row>
    <row r="107" spans="1:13" x14ac:dyDescent="0.3">
      <c r="A107" s="90">
        <v>1975</v>
      </c>
      <c r="B107" s="91">
        <v>5.7999999999999996E-3</v>
      </c>
      <c r="C107" s="92">
        <v>5.7999999999999996E-3</v>
      </c>
      <c r="D107" s="93">
        <f t="shared" si="10"/>
        <v>2.9116</v>
      </c>
      <c r="E107" s="94">
        <f t="shared" si="11"/>
        <v>14.558</v>
      </c>
      <c r="F107" s="93">
        <f t="shared" si="12"/>
        <v>11.6464</v>
      </c>
      <c r="G107" s="94">
        <f t="shared" si="13"/>
        <v>8.7347999999999999</v>
      </c>
      <c r="H107" s="93">
        <f t="shared" si="14"/>
        <v>5.8231999999999999</v>
      </c>
      <c r="I107" s="94">
        <f t="shared" si="15"/>
        <v>2.9116</v>
      </c>
      <c r="J107" s="93">
        <f t="shared" si="16"/>
        <v>1.4558</v>
      </c>
      <c r="K107" s="94">
        <f t="shared" si="17"/>
        <v>0.96956280000000006</v>
      </c>
      <c r="L107" s="93">
        <f t="shared" si="18"/>
        <v>0.72789999999999999</v>
      </c>
      <c r="M107" s="94">
        <f t="shared" si="19"/>
        <v>0.58232000000000006</v>
      </c>
    </row>
    <row r="108" spans="1:13" x14ac:dyDescent="0.3">
      <c r="A108" s="90">
        <v>1976</v>
      </c>
      <c r="B108" s="91">
        <v>5.1999999999999998E-3</v>
      </c>
      <c r="C108" s="92">
        <v>5.1999999999999998E-3</v>
      </c>
      <c r="D108" s="93">
        <f t="shared" si="10"/>
        <v>2.6103999999999998</v>
      </c>
      <c r="E108" s="94">
        <f t="shared" si="11"/>
        <v>13.052</v>
      </c>
      <c r="F108" s="93">
        <f t="shared" si="12"/>
        <v>10.441599999999999</v>
      </c>
      <c r="G108" s="94">
        <f t="shared" si="13"/>
        <v>7.8311999999999991</v>
      </c>
      <c r="H108" s="93">
        <f t="shared" si="14"/>
        <v>5.2207999999999997</v>
      </c>
      <c r="I108" s="94">
        <f t="shared" si="15"/>
        <v>2.6103999999999998</v>
      </c>
      <c r="J108" s="93">
        <f t="shared" si="16"/>
        <v>1.3051999999999999</v>
      </c>
      <c r="K108" s="94">
        <f t="shared" si="17"/>
        <v>0.86926320000000001</v>
      </c>
      <c r="L108" s="93">
        <f t="shared" si="18"/>
        <v>0.65259999999999996</v>
      </c>
      <c r="M108" s="94">
        <f t="shared" si="19"/>
        <v>0.52207999999999999</v>
      </c>
    </row>
    <row r="109" spans="1:13" x14ac:dyDescent="0.3">
      <c r="A109" s="90">
        <v>1977</v>
      </c>
      <c r="B109" s="91">
        <v>5.4999999999999997E-3</v>
      </c>
      <c r="C109" s="92">
        <v>5.4999999999999997E-3</v>
      </c>
      <c r="D109" s="93">
        <f t="shared" si="10"/>
        <v>2.7609999999999997</v>
      </c>
      <c r="E109" s="94">
        <f t="shared" si="11"/>
        <v>13.804999999999998</v>
      </c>
      <c r="F109" s="93">
        <f t="shared" si="12"/>
        <v>11.043999999999999</v>
      </c>
      <c r="G109" s="94">
        <f t="shared" si="13"/>
        <v>8.2829999999999995</v>
      </c>
      <c r="H109" s="93">
        <f t="shared" si="14"/>
        <v>5.5219999999999994</v>
      </c>
      <c r="I109" s="94">
        <f t="shared" si="15"/>
        <v>2.7609999999999997</v>
      </c>
      <c r="J109" s="93">
        <f t="shared" si="16"/>
        <v>1.3804999999999998</v>
      </c>
      <c r="K109" s="94">
        <f t="shared" si="17"/>
        <v>0.91941299999999992</v>
      </c>
      <c r="L109" s="93">
        <f t="shared" si="18"/>
        <v>0.69024999999999992</v>
      </c>
      <c r="M109" s="94">
        <f t="shared" si="19"/>
        <v>0.55219999999999991</v>
      </c>
    </row>
    <row r="110" spans="1:13" x14ac:dyDescent="0.3">
      <c r="A110" s="90">
        <v>1978</v>
      </c>
      <c r="B110" s="91">
        <v>5.4999999999999997E-3</v>
      </c>
      <c r="C110" s="92">
        <v>5.4999999999999997E-3</v>
      </c>
      <c r="D110" s="93">
        <f t="shared" si="10"/>
        <v>2.7609999999999997</v>
      </c>
      <c r="E110" s="94">
        <f t="shared" si="11"/>
        <v>13.804999999999998</v>
      </c>
      <c r="F110" s="93">
        <f t="shared" si="12"/>
        <v>11.043999999999999</v>
      </c>
      <c r="G110" s="94">
        <f t="shared" si="13"/>
        <v>8.2829999999999995</v>
      </c>
      <c r="H110" s="93">
        <f t="shared" si="14"/>
        <v>5.5219999999999994</v>
      </c>
      <c r="I110" s="94">
        <f t="shared" si="15"/>
        <v>2.7609999999999997</v>
      </c>
      <c r="J110" s="93">
        <f t="shared" si="16"/>
        <v>1.3804999999999998</v>
      </c>
      <c r="K110" s="94">
        <f t="shared" si="17"/>
        <v>0.91941299999999992</v>
      </c>
      <c r="L110" s="93">
        <f t="shared" si="18"/>
        <v>0.69024999999999992</v>
      </c>
      <c r="M110" s="94">
        <f t="shared" si="19"/>
        <v>0.55219999999999991</v>
      </c>
    </row>
    <row r="111" spans="1:13" x14ac:dyDescent="0.3">
      <c r="A111" s="90">
        <v>1979</v>
      </c>
      <c r="B111" s="91">
        <v>5.3E-3</v>
      </c>
      <c r="C111" s="92">
        <v>5.3E-3</v>
      </c>
      <c r="D111" s="93">
        <f t="shared" si="10"/>
        <v>2.6606000000000001</v>
      </c>
      <c r="E111" s="94">
        <f t="shared" si="11"/>
        <v>13.303000000000001</v>
      </c>
      <c r="F111" s="93">
        <f t="shared" si="12"/>
        <v>10.6424</v>
      </c>
      <c r="G111" s="94">
        <f t="shared" si="13"/>
        <v>7.9817999999999998</v>
      </c>
      <c r="H111" s="93">
        <f t="shared" si="14"/>
        <v>5.3212000000000002</v>
      </c>
      <c r="I111" s="94">
        <f t="shared" si="15"/>
        <v>2.6606000000000001</v>
      </c>
      <c r="J111" s="93">
        <f t="shared" si="16"/>
        <v>1.3303</v>
      </c>
      <c r="K111" s="94">
        <f t="shared" si="17"/>
        <v>0.8859798000000001</v>
      </c>
      <c r="L111" s="93">
        <f t="shared" si="18"/>
        <v>0.66515000000000002</v>
      </c>
      <c r="M111" s="94">
        <f t="shared" si="19"/>
        <v>0.53212000000000004</v>
      </c>
    </row>
    <row r="112" spans="1:13" x14ac:dyDescent="0.3">
      <c r="A112" s="90">
        <v>1980</v>
      </c>
      <c r="B112" s="91">
        <v>4.5999999999999999E-3</v>
      </c>
      <c r="C112" s="92">
        <v>4.5999999999999999E-3</v>
      </c>
      <c r="D112" s="93">
        <f t="shared" si="10"/>
        <v>2.3092000000000001</v>
      </c>
      <c r="E112" s="94">
        <f t="shared" si="11"/>
        <v>11.546000000000001</v>
      </c>
      <c r="F112" s="93">
        <f t="shared" si="12"/>
        <v>9.2368000000000006</v>
      </c>
      <c r="G112" s="94">
        <f t="shared" si="13"/>
        <v>6.9276</v>
      </c>
      <c r="H112" s="93">
        <f t="shared" si="14"/>
        <v>4.6184000000000003</v>
      </c>
      <c r="I112" s="94">
        <f t="shared" si="15"/>
        <v>2.3092000000000001</v>
      </c>
      <c r="J112" s="93">
        <f t="shared" si="16"/>
        <v>1.1546000000000001</v>
      </c>
      <c r="K112" s="94">
        <f t="shared" si="17"/>
        <v>0.76896360000000008</v>
      </c>
      <c r="L112" s="93">
        <f t="shared" si="18"/>
        <v>0.57730000000000004</v>
      </c>
      <c r="M112" s="94">
        <f t="shared" si="19"/>
        <v>0.46184000000000003</v>
      </c>
    </row>
    <row r="113" spans="1:13" x14ac:dyDescent="0.3">
      <c r="A113" s="90">
        <v>1981</v>
      </c>
      <c r="B113" s="91">
        <v>4.8999999999999998E-3</v>
      </c>
      <c r="C113" s="92">
        <v>4.8999999999999998E-3</v>
      </c>
      <c r="D113" s="93">
        <f t="shared" si="10"/>
        <v>2.4598</v>
      </c>
      <c r="E113" s="94">
        <f t="shared" si="11"/>
        <v>12.298999999999999</v>
      </c>
      <c r="F113" s="93">
        <f t="shared" si="12"/>
        <v>9.8391999999999999</v>
      </c>
      <c r="G113" s="94">
        <f t="shared" si="13"/>
        <v>7.3794000000000004</v>
      </c>
      <c r="H113" s="93">
        <f t="shared" si="14"/>
        <v>4.9196</v>
      </c>
      <c r="I113" s="94">
        <f t="shared" si="15"/>
        <v>2.4598</v>
      </c>
      <c r="J113" s="93">
        <f t="shared" si="16"/>
        <v>1.2299</v>
      </c>
      <c r="K113" s="94">
        <f t="shared" si="17"/>
        <v>0.81911339999999999</v>
      </c>
      <c r="L113" s="93">
        <f t="shared" si="18"/>
        <v>0.61495</v>
      </c>
      <c r="M113" s="94">
        <f t="shared" si="19"/>
        <v>0.49196000000000001</v>
      </c>
    </row>
    <row r="114" spans="1:13" x14ac:dyDescent="0.3">
      <c r="A114" s="90">
        <v>1982</v>
      </c>
      <c r="B114" s="91">
        <v>4.7000000000000002E-3</v>
      </c>
      <c r="C114" s="92">
        <v>4.7000000000000002E-3</v>
      </c>
      <c r="D114" s="93">
        <f t="shared" si="10"/>
        <v>2.3593999999999999</v>
      </c>
      <c r="E114" s="94">
        <f t="shared" si="11"/>
        <v>11.797000000000001</v>
      </c>
      <c r="F114" s="93">
        <f t="shared" si="12"/>
        <v>9.4375999999999998</v>
      </c>
      <c r="G114" s="94">
        <f t="shared" si="13"/>
        <v>7.0781999999999998</v>
      </c>
      <c r="H114" s="93">
        <f t="shared" si="14"/>
        <v>4.7187999999999999</v>
      </c>
      <c r="I114" s="94">
        <f t="shared" si="15"/>
        <v>2.3593999999999999</v>
      </c>
      <c r="J114" s="93">
        <f t="shared" si="16"/>
        <v>1.1797</v>
      </c>
      <c r="K114" s="94">
        <f t="shared" si="17"/>
        <v>0.78568020000000005</v>
      </c>
      <c r="L114" s="93">
        <f t="shared" si="18"/>
        <v>0.58984999999999999</v>
      </c>
      <c r="M114" s="94">
        <f t="shared" si="19"/>
        <v>0.47188000000000002</v>
      </c>
    </row>
    <row r="115" spans="1:13" x14ac:dyDescent="0.3">
      <c r="A115" s="90">
        <v>1983</v>
      </c>
      <c r="B115" s="91">
        <v>5.0000000000000001E-3</v>
      </c>
      <c r="C115" s="92">
        <v>5.0000000000000001E-3</v>
      </c>
      <c r="D115" s="93">
        <f t="shared" si="10"/>
        <v>2.5100000000000002</v>
      </c>
      <c r="E115" s="94">
        <f t="shared" si="11"/>
        <v>12.55</v>
      </c>
      <c r="F115" s="93">
        <f t="shared" si="12"/>
        <v>10.040000000000001</v>
      </c>
      <c r="G115" s="94">
        <f t="shared" si="13"/>
        <v>7.5300000000000011</v>
      </c>
      <c r="H115" s="93">
        <f t="shared" si="14"/>
        <v>5.0200000000000005</v>
      </c>
      <c r="I115" s="94">
        <f t="shared" si="15"/>
        <v>2.5100000000000002</v>
      </c>
      <c r="J115" s="93">
        <f t="shared" si="16"/>
        <v>1.2550000000000001</v>
      </c>
      <c r="K115" s="94">
        <f t="shared" si="17"/>
        <v>0.83583000000000007</v>
      </c>
      <c r="L115" s="93">
        <f t="shared" si="18"/>
        <v>0.62750000000000006</v>
      </c>
      <c r="M115" s="94">
        <f t="shared" si="19"/>
        <v>0.50200000000000011</v>
      </c>
    </row>
    <row r="116" spans="1:13" x14ac:dyDescent="0.3">
      <c r="A116" s="90">
        <v>1984</v>
      </c>
      <c r="B116" s="91">
        <v>4.5999999999999999E-3</v>
      </c>
      <c r="C116" s="92">
        <v>4.5999999999999999E-3</v>
      </c>
      <c r="D116" s="93">
        <f t="shared" si="10"/>
        <v>2.3092000000000001</v>
      </c>
      <c r="E116" s="94">
        <f t="shared" si="11"/>
        <v>11.546000000000001</v>
      </c>
      <c r="F116" s="93">
        <f t="shared" si="12"/>
        <v>9.2368000000000006</v>
      </c>
      <c r="G116" s="94">
        <f t="shared" si="13"/>
        <v>6.9276</v>
      </c>
      <c r="H116" s="93">
        <f t="shared" si="14"/>
        <v>4.6184000000000003</v>
      </c>
      <c r="I116" s="94">
        <f t="shared" si="15"/>
        <v>2.3092000000000001</v>
      </c>
      <c r="J116" s="93">
        <f t="shared" si="16"/>
        <v>1.1546000000000001</v>
      </c>
      <c r="K116" s="94">
        <f t="shared" si="17"/>
        <v>0.76896360000000008</v>
      </c>
      <c r="L116" s="93">
        <f t="shared" si="18"/>
        <v>0.57730000000000004</v>
      </c>
      <c r="M116" s="94">
        <f t="shared" si="19"/>
        <v>0.46184000000000003</v>
      </c>
    </row>
    <row r="117" spans="1:13" x14ac:dyDescent="0.3">
      <c r="A117" s="90">
        <v>1985</v>
      </c>
      <c r="B117" s="91">
        <v>4.8999999999999998E-3</v>
      </c>
      <c r="C117" s="92">
        <v>4.8999999999999998E-3</v>
      </c>
      <c r="D117" s="93">
        <f t="shared" si="10"/>
        <v>2.4598</v>
      </c>
      <c r="E117" s="94">
        <f t="shared" si="11"/>
        <v>12.298999999999999</v>
      </c>
      <c r="F117" s="93">
        <f t="shared" si="12"/>
        <v>9.8391999999999999</v>
      </c>
      <c r="G117" s="94">
        <f t="shared" si="13"/>
        <v>7.3794000000000004</v>
      </c>
      <c r="H117" s="93">
        <f t="shared" si="14"/>
        <v>4.9196</v>
      </c>
      <c r="I117" s="94">
        <f t="shared" si="15"/>
        <v>2.4598</v>
      </c>
      <c r="J117" s="93">
        <f t="shared" si="16"/>
        <v>1.2299</v>
      </c>
      <c r="K117" s="94">
        <f t="shared" si="17"/>
        <v>0.81911339999999999</v>
      </c>
      <c r="L117" s="93">
        <f t="shared" si="18"/>
        <v>0.61495</v>
      </c>
      <c r="M117" s="94">
        <f t="shared" si="19"/>
        <v>0.49196000000000001</v>
      </c>
    </row>
    <row r="118" spans="1:13" x14ac:dyDescent="0.3">
      <c r="A118" s="90">
        <v>1986</v>
      </c>
      <c r="B118" s="91">
        <v>5.7000000000000002E-3</v>
      </c>
      <c r="C118" s="92">
        <v>5.7000000000000002E-3</v>
      </c>
      <c r="D118" s="93">
        <f t="shared" si="10"/>
        <v>2.8614000000000002</v>
      </c>
      <c r="E118" s="94">
        <f t="shared" si="11"/>
        <v>14.307</v>
      </c>
      <c r="F118" s="93">
        <f t="shared" si="12"/>
        <v>11.445600000000001</v>
      </c>
      <c r="G118" s="94">
        <f t="shared" si="13"/>
        <v>8.5842000000000009</v>
      </c>
      <c r="H118" s="93">
        <f t="shared" si="14"/>
        <v>5.7228000000000003</v>
      </c>
      <c r="I118" s="94">
        <f t="shared" si="15"/>
        <v>2.8614000000000002</v>
      </c>
      <c r="J118" s="93">
        <f t="shared" si="16"/>
        <v>1.4307000000000001</v>
      </c>
      <c r="K118" s="94">
        <f t="shared" si="17"/>
        <v>0.95284620000000009</v>
      </c>
      <c r="L118" s="93">
        <f t="shared" si="18"/>
        <v>0.71535000000000004</v>
      </c>
      <c r="M118" s="94">
        <f t="shared" si="19"/>
        <v>0.57228000000000001</v>
      </c>
    </row>
    <row r="119" spans="1:13" x14ac:dyDescent="0.3">
      <c r="A119" s="90">
        <v>1987</v>
      </c>
      <c r="B119" s="91">
        <v>5.7999999999999996E-3</v>
      </c>
      <c r="C119" s="92">
        <v>5.7999999999999996E-3</v>
      </c>
      <c r="D119" s="93">
        <f t="shared" si="10"/>
        <v>2.9116</v>
      </c>
      <c r="E119" s="94">
        <f t="shared" si="11"/>
        <v>14.558</v>
      </c>
      <c r="F119" s="93">
        <f t="shared" si="12"/>
        <v>11.6464</v>
      </c>
      <c r="G119" s="94">
        <f t="shared" si="13"/>
        <v>8.7347999999999999</v>
      </c>
      <c r="H119" s="93">
        <f t="shared" si="14"/>
        <v>5.8231999999999999</v>
      </c>
      <c r="I119" s="94">
        <f t="shared" si="15"/>
        <v>2.9116</v>
      </c>
      <c r="J119" s="93">
        <f t="shared" si="16"/>
        <v>1.4558</v>
      </c>
      <c r="K119" s="94">
        <f t="shared" si="17"/>
        <v>0.96956280000000006</v>
      </c>
      <c r="L119" s="93">
        <f t="shared" si="18"/>
        <v>0.72789999999999999</v>
      </c>
      <c r="M119" s="94">
        <f t="shared" si="19"/>
        <v>0.58232000000000006</v>
      </c>
    </row>
    <row r="120" spans="1:13" x14ac:dyDescent="0.3">
      <c r="A120" s="90">
        <v>1988</v>
      </c>
      <c r="B120" s="91">
        <v>6.4000000000000003E-3</v>
      </c>
      <c r="C120" s="92">
        <v>6.4000000000000003E-3</v>
      </c>
      <c r="D120" s="93">
        <f t="shared" si="10"/>
        <v>3.2128000000000001</v>
      </c>
      <c r="E120" s="94">
        <f t="shared" si="11"/>
        <v>16.064</v>
      </c>
      <c r="F120" s="93">
        <f t="shared" si="12"/>
        <v>12.8512</v>
      </c>
      <c r="G120" s="94">
        <f t="shared" si="13"/>
        <v>9.6384000000000007</v>
      </c>
      <c r="H120" s="93">
        <f t="shared" si="14"/>
        <v>6.4256000000000002</v>
      </c>
      <c r="I120" s="94">
        <f t="shared" si="15"/>
        <v>3.2128000000000001</v>
      </c>
      <c r="J120" s="93">
        <f t="shared" si="16"/>
        <v>1.6064000000000001</v>
      </c>
      <c r="K120" s="94">
        <f t="shared" si="17"/>
        <v>1.0698624000000001</v>
      </c>
      <c r="L120" s="93">
        <f t="shared" si="18"/>
        <v>0.80320000000000003</v>
      </c>
      <c r="M120" s="94">
        <f t="shared" si="19"/>
        <v>0.64256000000000002</v>
      </c>
    </row>
    <row r="121" spans="1:13" x14ac:dyDescent="0.3">
      <c r="A121" s="90">
        <v>1989</v>
      </c>
      <c r="B121" s="91">
        <v>5.5999999999999999E-3</v>
      </c>
      <c r="C121" s="92">
        <v>5.5999999999999999E-3</v>
      </c>
      <c r="D121" s="93">
        <f t="shared" si="10"/>
        <v>2.8111999999999999</v>
      </c>
      <c r="E121" s="94">
        <f t="shared" si="11"/>
        <v>14.055999999999999</v>
      </c>
      <c r="F121" s="93">
        <f t="shared" si="12"/>
        <v>11.2448</v>
      </c>
      <c r="G121" s="94">
        <f t="shared" si="13"/>
        <v>8.4336000000000002</v>
      </c>
      <c r="H121" s="93">
        <f t="shared" si="14"/>
        <v>5.6223999999999998</v>
      </c>
      <c r="I121" s="94">
        <f t="shared" si="15"/>
        <v>2.8111999999999999</v>
      </c>
      <c r="J121" s="93">
        <f t="shared" si="16"/>
        <v>1.4056</v>
      </c>
      <c r="K121" s="94">
        <f t="shared" si="17"/>
        <v>0.93612960000000001</v>
      </c>
      <c r="L121" s="93">
        <f t="shared" si="18"/>
        <v>0.70279999999999998</v>
      </c>
      <c r="M121" s="94">
        <f t="shared" si="19"/>
        <v>0.56223999999999996</v>
      </c>
    </row>
    <row r="122" spans="1:13" x14ac:dyDescent="0.3">
      <c r="A122" s="90">
        <v>1990</v>
      </c>
      <c r="B122" s="91">
        <v>6.0000000000000001E-3</v>
      </c>
      <c r="C122" s="92">
        <v>6.0000000000000001E-3</v>
      </c>
      <c r="D122" s="93">
        <f t="shared" si="10"/>
        <v>3.012</v>
      </c>
      <c r="E122" s="94">
        <f t="shared" si="11"/>
        <v>15.06</v>
      </c>
      <c r="F122" s="93">
        <f t="shared" si="12"/>
        <v>12.048</v>
      </c>
      <c r="G122" s="94">
        <f t="shared" si="13"/>
        <v>9.0359999999999996</v>
      </c>
      <c r="H122" s="93">
        <f t="shared" si="14"/>
        <v>6.024</v>
      </c>
      <c r="I122" s="94">
        <f t="shared" si="15"/>
        <v>3.012</v>
      </c>
      <c r="J122" s="93">
        <f t="shared" si="16"/>
        <v>1.506</v>
      </c>
      <c r="K122" s="94">
        <f t="shared" si="17"/>
        <v>1.002996</v>
      </c>
      <c r="L122" s="93">
        <f t="shared" si="18"/>
        <v>0.753</v>
      </c>
      <c r="M122" s="94">
        <f t="shared" si="19"/>
        <v>0.60240000000000005</v>
      </c>
    </row>
    <row r="123" spans="1:13" x14ac:dyDescent="0.3">
      <c r="A123" s="90">
        <v>1991</v>
      </c>
      <c r="B123" s="91">
        <v>6.3E-3</v>
      </c>
      <c r="C123" s="92">
        <v>6.3E-3</v>
      </c>
      <c r="D123" s="93">
        <f t="shared" si="10"/>
        <v>3.1625999999999999</v>
      </c>
      <c r="E123" s="94">
        <f t="shared" si="11"/>
        <v>15.812999999999999</v>
      </c>
      <c r="F123" s="93">
        <f t="shared" si="12"/>
        <v>12.650399999999999</v>
      </c>
      <c r="G123" s="94">
        <f t="shared" si="13"/>
        <v>9.4878</v>
      </c>
      <c r="H123" s="93">
        <f t="shared" si="14"/>
        <v>6.3251999999999997</v>
      </c>
      <c r="I123" s="94">
        <f t="shared" si="15"/>
        <v>3.1625999999999999</v>
      </c>
      <c r="J123" s="93">
        <f t="shared" si="16"/>
        <v>1.5812999999999999</v>
      </c>
      <c r="K123" s="94">
        <f t="shared" si="17"/>
        <v>1.0531458</v>
      </c>
      <c r="L123" s="93">
        <f t="shared" si="18"/>
        <v>0.79064999999999996</v>
      </c>
      <c r="M123" s="94">
        <f t="shared" si="19"/>
        <v>0.63251999999999997</v>
      </c>
    </row>
    <row r="124" spans="1:13" x14ac:dyDescent="0.3">
      <c r="A124" s="90">
        <v>1992</v>
      </c>
      <c r="B124" s="91">
        <v>6.8999999999999999E-3</v>
      </c>
      <c r="C124" s="92">
        <v>6.8999999999999999E-3</v>
      </c>
      <c r="D124" s="93">
        <f t="shared" si="10"/>
        <v>3.4638</v>
      </c>
      <c r="E124" s="94">
        <f t="shared" si="11"/>
        <v>17.318999999999999</v>
      </c>
      <c r="F124" s="93">
        <f t="shared" si="12"/>
        <v>13.8552</v>
      </c>
      <c r="G124" s="94">
        <f t="shared" si="13"/>
        <v>10.391400000000001</v>
      </c>
      <c r="H124" s="93">
        <f t="shared" si="14"/>
        <v>6.9276</v>
      </c>
      <c r="I124" s="94">
        <f t="shared" si="15"/>
        <v>3.4638</v>
      </c>
      <c r="J124" s="93">
        <f t="shared" si="16"/>
        <v>1.7319</v>
      </c>
      <c r="K124" s="94">
        <f t="shared" si="17"/>
        <v>1.1534454000000001</v>
      </c>
      <c r="L124" s="93">
        <f t="shared" si="18"/>
        <v>0.86595</v>
      </c>
      <c r="M124" s="94">
        <f t="shared" si="19"/>
        <v>0.69276000000000004</v>
      </c>
    </row>
    <row r="125" spans="1:13" x14ac:dyDescent="0.3">
      <c r="A125" s="90">
        <v>1993</v>
      </c>
      <c r="B125" s="91">
        <v>7.7000000000000002E-3</v>
      </c>
      <c r="C125" s="92">
        <v>7.7000000000000002E-3</v>
      </c>
      <c r="D125" s="93">
        <f t="shared" si="10"/>
        <v>3.8654000000000002</v>
      </c>
      <c r="E125" s="94">
        <f t="shared" si="11"/>
        <v>19.327000000000002</v>
      </c>
      <c r="F125" s="93">
        <f t="shared" si="12"/>
        <v>15.461600000000001</v>
      </c>
      <c r="G125" s="94">
        <f t="shared" si="13"/>
        <v>11.5962</v>
      </c>
      <c r="H125" s="93">
        <f t="shared" si="14"/>
        <v>7.7308000000000003</v>
      </c>
      <c r="I125" s="94">
        <f t="shared" si="15"/>
        <v>3.8654000000000002</v>
      </c>
      <c r="J125" s="93">
        <f t="shared" si="16"/>
        <v>1.9327000000000001</v>
      </c>
      <c r="K125" s="94">
        <f t="shared" si="17"/>
        <v>1.2871782000000001</v>
      </c>
      <c r="L125" s="93">
        <f t="shared" si="18"/>
        <v>0.96635000000000004</v>
      </c>
      <c r="M125" s="94">
        <f t="shared" si="19"/>
        <v>0.7730800000000001</v>
      </c>
    </row>
    <row r="126" spans="1:13" x14ac:dyDescent="0.3">
      <c r="A126" s="90">
        <v>1994</v>
      </c>
      <c r="B126" s="91">
        <v>7.9000000000000008E-3</v>
      </c>
      <c r="C126" s="92">
        <v>7.9000000000000008E-3</v>
      </c>
      <c r="D126" s="93">
        <f t="shared" si="10"/>
        <v>3.9658000000000002</v>
      </c>
      <c r="E126" s="94">
        <f t="shared" si="11"/>
        <v>19.829000000000001</v>
      </c>
      <c r="F126" s="93">
        <f t="shared" si="12"/>
        <v>15.863200000000001</v>
      </c>
      <c r="G126" s="94">
        <f t="shared" si="13"/>
        <v>11.897400000000001</v>
      </c>
      <c r="H126" s="93">
        <f t="shared" si="14"/>
        <v>7.9316000000000004</v>
      </c>
      <c r="I126" s="94">
        <f t="shared" si="15"/>
        <v>3.9658000000000002</v>
      </c>
      <c r="J126" s="93">
        <f t="shared" si="16"/>
        <v>1.9829000000000001</v>
      </c>
      <c r="K126" s="94">
        <f t="shared" si="17"/>
        <v>1.3206114000000002</v>
      </c>
      <c r="L126" s="93">
        <f t="shared" si="18"/>
        <v>0.99145000000000005</v>
      </c>
      <c r="M126" s="94">
        <f t="shared" si="19"/>
        <v>0.79316000000000009</v>
      </c>
    </row>
    <row r="127" spans="1:13" x14ac:dyDescent="0.3">
      <c r="A127" s="90">
        <v>1995</v>
      </c>
      <c r="B127" s="91">
        <v>8.8000000000000005E-3</v>
      </c>
      <c r="C127" s="92">
        <v>8.8000000000000005E-3</v>
      </c>
      <c r="D127" s="93">
        <f t="shared" si="10"/>
        <v>4.4176000000000002</v>
      </c>
      <c r="E127" s="94">
        <f t="shared" si="11"/>
        <v>22.088000000000001</v>
      </c>
      <c r="F127" s="93">
        <f t="shared" si="12"/>
        <v>17.670400000000001</v>
      </c>
      <c r="G127" s="94">
        <f t="shared" si="13"/>
        <v>13.252800000000001</v>
      </c>
      <c r="H127" s="93">
        <f t="shared" si="14"/>
        <v>8.8352000000000004</v>
      </c>
      <c r="I127" s="94">
        <f t="shared" si="15"/>
        <v>4.4176000000000002</v>
      </c>
      <c r="J127" s="93">
        <f t="shared" si="16"/>
        <v>2.2088000000000001</v>
      </c>
      <c r="K127" s="94">
        <f t="shared" si="17"/>
        <v>1.4710608000000001</v>
      </c>
      <c r="L127" s="93">
        <f t="shared" si="18"/>
        <v>1.1044</v>
      </c>
      <c r="M127" s="94">
        <f t="shared" si="19"/>
        <v>0.88352000000000008</v>
      </c>
    </row>
    <row r="128" spans="1:13" x14ac:dyDescent="0.3">
      <c r="A128" s="90">
        <v>1996</v>
      </c>
      <c r="B128" s="91">
        <v>8.9999999999999993E-3</v>
      </c>
      <c r="C128" s="92">
        <v>8.9999999999999993E-3</v>
      </c>
      <c r="D128" s="93">
        <f t="shared" si="10"/>
        <v>4.5179999999999998</v>
      </c>
      <c r="E128" s="94">
        <f t="shared" si="11"/>
        <v>22.59</v>
      </c>
      <c r="F128" s="93">
        <f t="shared" si="12"/>
        <v>18.071999999999999</v>
      </c>
      <c r="G128" s="94">
        <f t="shared" si="13"/>
        <v>13.553999999999998</v>
      </c>
      <c r="H128" s="93">
        <f t="shared" si="14"/>
        <v>9.0359999999999996</v>
      </c>
      <c r="I128" s="94">
        <f t="shared" si="15"/>
        <v>4.5179999999999998</v>
      </c>
      <c r="J128" s="93">
        <f t="shared" si="16"/>
        <v>2.2589999999999999</v>
      </c>
      <c r="K128" s="94">
        <f t="shared" si="17"/>
        <v>1.504494</v>
      </c>
      <c r="L128" s="93">
        <f t="shared" si="18"/>
        <v>1.1294999999999999</v>
      </c>
      <c r="M128" s="94">
        <f t="shared" si="19"/>
        <v>0.90359999999999996</v>
      </c>
    </row>
    <row r="129" spans="1:13" x14ac:dyDescent="0.3">
      <c r="A129" s="90">
        <v>1997</v>
      </c>
      <c r="B129" s="91">
        <v>9.2999999999999992E-3</v>
      </c>
      <c r="C129" s="92">
        <v>9.2999999999999992E-3</v>
      </c>
      <c r="D129" s="93">
        <f t="shared" si="10"/>
        <v>4.6685999999999996</v>
      </c>
      <c r="E129" s="94">
        <f t="shared" si="11"/>
        <v>23.342999999999996</v>
      </c>
      <c r="F129" s="93">
        <f t="shared" si="12"/>
        <v>18.674399999999999</v>
      </c>
      <c r="G129" s="94">
        <f t="shared" si="13"/>
        <v>14.005799999999999</v>
      </c>
      <c r="H129" s="93">
        <f t="shared" si="14"/>
        <v>9.3371999999999993</v>
      </c>
      <c r="I129" s="94">
        <f t="shared" si="15"/>
        <v>4.6685999999999996</v>
      </c>
      <c r="J129" s="93">
        <f t="shared" si="16"/>
        <v>2.3342999999999998</v>
      </c>
      <c r="K129" s="94">
        <f t="shared" si="17"/>
        <v>1.5546438</v>
      </c>
      <c r="L129" s="93">
        <f t="shared" si="18"/>
        <v>1.1671499999999999</v>
      </c>
      <c r="M129" s="94">
        <f t="shared" si="19"/>
        <v>0.93371999999999999</v>
      </c>
    </row>
    <row r="130" spans="1:13" x14ac:dyDescent="0.3">
      <c r="A130" s="90">
        <v>1998</v>
      </c>
      <c r="B130" s="91">
        <v>9.4999999999999998E-3</v>
      </c>
      <c r="C130" s="92">
        <v>9.4999999999999998E-3</v>
      </c>
      <c r="D130" s="93">
        <f t="shared" si="10"/>
        <v>4.7690000000000001</v>
      </c>
      <c r="E130" s="94">
        <f t="shared" si="11"/>
        <v>23.844999999999999</v>
      </c>
      <c r="F130" s="93">
        <f t="shared" si="12"/>
        <v>19.076000000000001</v>
      </c>
      <c r="G130" s="94">
        <f t="shared" si="13"/>
        <v>14.307</v>
      </c>
      <c r="H130" s="93">
        <f t="shared" si="14"/>
        <v>9.5380000000000003</v>
      </c>
      <c r="I130" s="94">
        <f t="shared" si="15"/>
        <v>4.7690000000000001</v>
      </c>
      <c r="J130" s="93">
        <f t="shared" si="16"/>
        <v>2.3845000000000001</v>
      </c>
      <c r="K130" s="94">
        <f t="shared" si="17"/>
        <v>1.5880770000000002</v>
      </c>
      <c r="L130" s="93">
        <f t="shared" si="18"/>
        <v>1.19225</v>
      </c>
      <c r="M130" s="94">
        <f t="shared" si="19"/>
        <v>0.95380000000000009</v>
      </c>
    </row>
    <row r="131" spans="1:13" x14ac:dyDescent="0.3">
      <c r="A131" s="90">
        <v>1999</v>
      </c>
      <c r="B131" s="91">
        <v>9.4000000000000004E-3</v>
      </c>
      <c r="C131" s="92">
        <v>9.4000000000000004E-3</v>
      </c>
      <c r="D131" s="93">
        <f t="shared" si="10"/>
        <v>4.7187999999999999</v>
      </c>
      <c r="E131" s="94">
        <f t="shared" si="11"/>
        <v>23.594000000000001</v>
      </c>
      <c r="F131" s="93">
        <f t="shared" si="12"/>
        <v>18.8752</v>
      </c>
      <c r="G131" s="94">
        <f t="shared" si="13"/>
        <v>14.1564</v>
      </c>
      <c r="H131" s="93">
        <f t="shared" si="14"/>
        <v>9.4375999999999998</v>
      </c>
      <c r="I131" s="94">
        <f t="shared" si="15"/>
        <v>4.7187999999999999</v>
      </c>
      <c r="J131" s="93">
        <f t="shared" si="16"/>
        <v>2.3593999999999999</v>
      </c>
      <c r="K131" s="94">
        <f t="shared" si="17"/>
        <v>1.5713604000000001</v>
      </c>
      <c r="L131" s="93">
        <f t="shared" si="18"/>
        <v>1.1797</v>
      </c>
      <c r="M131" s="94">
        <f t="shared" si="19"/>
        <v>0.94376000000000004</v>
      </c>
    </row>
    <row r="132" spans="1:13" x14ac:dyDescent="0.3">
      <c r="A132" s="90">
        <v>2000</v>
      </c>
      <c r="B132" s="91">
        <v>9.4000000000000004E-3</v>
      </c>
      <c r="C132" s="92">
        <v>9.4000000000000004E-3</v>
      </c>
      <c r="D132" s="93">
        <f t="shared" si="10"/>
        <v>4.7187999999999999</v>
      </c>
      <c r="E132" s="94">
        <f t="shared" si="11"/>
        <v>23.594000000000001</v>
      </c>
      <c r="F132" s="93">
        <f t="shared" si="12"/>
        <v>18.8752</v>
      </c>
      <c r="G132" s="94">
        <f t="shared" si="13"/>
        <v>14.1564</v>
      </c>
      <c r="H132" s="93">
        <f t="shared" si="14"/>
        <v>9.4375999999999998</v>
      </c>
      <c r="I132" s="94">
        <f t="shared" si="15"/>
        <v>4.7187999999999999</v>
      </c>
      <c r="J132" s="93">
        <f t="shared" si="16"/>
        <v>2.3593999999999999</v>
      </c>
      <c r="K132" s="94">
        <f t="shared" si="17"/>
        <v>1.5713604000000001</v>
      </c>
      <c r="L132" s="93">
        <f t="shared" si="18"/>
        <v>1.1797</v>
      </c>
      <c r="M132" s="94">
        <f t="shared" si="19"/>
        <v>0.94376000000000004</v>
      </c>
    </row>
    <row r="133" spans="1:13" x14ac:dyDescent="0.3">
      <c r="A133" s="90">
        <v>2001</v>
      </c>
      <c r="B133" s="91">
        <v>1.14E-2</v>
      </c>
      <c r="C133" s="92">
        <v>1.14E-2</v>
      </c>
      <c r="D133" s="93">
        <f t="shared" si="10"/>
        <v>5.7228000000000003</v>
      </c>
      <c r="E133" s="94">
        <f t="shared" si="11"/>
        <v>28.614000000000001</v>
      </c>
      <c r="F133" s="93">
        <f t="shared" si="12"/>
        <v>22.891200000000001</v>
      </c>
      <c r="G133" s="94">
        <f t="shared" si="13"/>
        <v>17.168400000000002</v>
      </c>
      <c r="H133" s="93">
        <f t="shared" si="14"/>
        <v>11.445600000000001</v>
      </c>
      <c r="I133" s="94">
        <f t="shared" si="15"/>
        <v>5.7228000000000003</v>
      </c>
      <c r="J133" s="93">
        <f t="shared" si="16"/>
        <v>2.8614000000000002</v>
      </c>
      <c r="K133" s="94">
        <f t="shared" si="17"/>
        <v>1.9056924000000002</v>
      </c>
      <c r="L133" s="93">
        <f t="shared" si="18"/>
        <v>1.4307000000000001</v>
      </c>
      <c r="M133" s="94">
        <f t="shared" si="19"/>
        <v>1.14456</v>
      </c>
    </row>
    <row r="134" spans="1:13" x14ac:dyDescent="0.3">
      <c r="A134" s="90">
        <v>2002</v>
      </c>
      <c r="B134" s="91">
        <v>1.0500000000000001E-2</v>
      </c>
      <c r="C134" s="92">
        <v>1.0500000000000001E-2</v>
      </c>
      <c r="D134" s="93">
        <f t="shared" si="10"/>
        <v>5.2709999999999999</v>
      </c>
      <c r="E134" s="94">
        <f t="shared" si="11"/>
        <v>26.355</v>
      </c>
      <c r="F134" s="93">
        <f t="shared" si="12"/>
        <v>21.084</v>
      </c>
      <c r="G134" s="94">
        <f t="shared" si="13"/>
        <v>15.812999999999999</v>
      </c>
      <c r="H134" s="93">
        <f t="shared" si="14"/>
        <v>10.542</v>
      </c>
      <c r="I134" s="94">
        <f t="shared" si="15"/>
        <v>5.2709999999999999</v>
      </c>
      <c r="J134" s="93">
        <f t="shared" si="16"/>
        <v>2.6355</v>
      </c>
      <c r="K134" s="94">
        <f t="shared" si="17"/>
        <v>1.7552430000000001</v>
      </c>
      <c r="L134" s="93">
        <f t="shared" si="18"/>
        <v>1.31775</v>
      </c>
      <c r="M134" s="94">
        <f t="shared" si="19"/>
        <v>1.0542</v>
      </c>
    </row>
    <row r="135" spans="1:13" x14ac:dyDescent="0.3">
      <c r="A135" s="90">
        <v>2003</v>
      </c>
      <c r="B135" s="91">
        <v>1.11E-2</v>
      </c>
      <c r="C135" s="92">
        <v>1.11E-2</v>
      </c>
      <c r="D135" s="93">
        <f t="shared" si="10"/>
        <v>5.5722000000000005</v>
      </c>
      <c r="E135" s="94">
        <f t="shared" si="11"/>
        <v>27.861000000000004</v>
      </c>
      <c r="F135" s="93">
        <f t="shared" si="12"/>
        <v>22.288800000000002</v>
      </c>
      <c r="G135" s="94">
        <f t="shared" si="13"/>
        <v>16.7166</v>
      </c>
      <c r="H135" s="93">
        <f t="shared" si="14"/>
        <v>11.144400000000001</v>
      </c>
      <c r="I135" s="94">
        <f t="shared" si="15"/>
        <v>5.5722000000000005</v>
      </c>
      <c r="J135" s="93">
        <f t="shared" si="16"/>
        <v>2.7861000000000002</v>
      </c>
      <c r="K135" s="94">
        <f t="shared" si="17"/>
        <v>1.8555426000000002</v>
      </c>
      <c r="L135" s="93">
        <f t="shared" si="18"/>
        <v>1.3930500000000001</v>
      </c>
      <c r="M135" s="94">
        <f t="shared" si="19"/>
        <v>1.1144400000000001</v>
      </c>
    </row>
    <row r="136" spans="1:13" x14ac:dyDescent="0.3">
      <c r="A136" s="90">
        <v>2004</v>
      </c>
      <c r="B136" s="91">
        <v>1.11E-2</v>
      </c>
      <c r="C136" s="92">
        <v>1.11E-2</v>
      </c>
      <c r="D136" s="93">
        <f t="shared" si="10"/>
        <v>5.5722000000000005</v>
      </c>
      <c r="E136" s="94">
        <f t="shared" si="11"/>
        <v>27.861000000000004</v>
      </c>
      <c r="F136" s="93">
        <f t="shared" si="12"/>
        <v>22.288800000000002</v>
      </c>
      <c r="G136" s="94">
        <f t="shared" si="13"/>
        <v>16.7166</v>
      </c>
      <c r="H136" s="93">
        <f t="shared" si="14"/>
        <v>11.144400000000001</v>
      </c>
      <c r="I136" s="94">
        <f t="shared" si="15"/>
        <v>5.5722000000000005</v>
      </c>
      <c r="J136" s="93">
        <f t="shared" si="16"/>
        <v>2.7861000000000002</v>
      </c>
      <c r="K136" s="94">
        <f t="shared" si="17"/>
        <v>1.8555426000000002</v>
      </c>
      <c r="L136" s="93">
        <f t="shared" si="18"/>
        <v>1.3930500000000001</v>
      </c>
      <c r="M136" s="94">
        <f t="shared" si="19"/>
        <v>1.1144400000000001</v>
      </c>
    </row>
    <row r="137" spans="1:13" x14ac:dyDescent="0.3">
      <c r="A137" s="90">
        <v>2005</v>
      </c>
      <c r="B137" s="91">
        <v>1.0800000000000001E-2</v>
      </c>
      <c r="C137" s="92">
        <v>1.0800000000000001E-2</v>
      </c>
      <c r="D137" s="93">
        <f t="shared" si="10"/>
        <v>5.4216000000000006</v>
      </c>
      <c r="E137" s="94">
        <f t="shared" si="11"/>
        <v>27.108000000000004</v>
      </c>
      <c r="F137" s="93">
        <f t="shared" si="12"/>
        <v>21.686400000000003</v>
      </c>
      <c r="G137" s="94">
        <f t="shared" si="13"/>
        <v>16.264800000000001</v>
      </c>
      <c r="H137" s="93">
        <f t="shared" si="14"/>
        <v>10.843200000000001</v>
      </c>
      <c r="I137" s="94">
        <f t="shared" si="15"/>
        <v>5.4216000000000006</v>
      </c>
      <c r="J137" s="93">
        <f t="shared" si="16"/>
        <v>2.7108000000000003</v>
      </c>
      <c r="K137" s="94">
        <f t="shared" si="17"/>
        <v>1.8053928000000004</v>
      </c>
      <c r="L137" s="93">
        <f t="shared" si="18"/>
        <v>1.3554000000000002</v>
      </c>
      <c r="M137" s="94">
        <f t="shared" si="19"/>
        <v>1.0843200000000002</v>
      </c>
    </row>
    <row r="138" spans="1:13" x14ac:dyDescent="0.3">
      <c r="A138" s="90">
        <v>2006</v>
      </c>
      <c r="B138" s="91">
        <v>1.09E-2</v>
      </c>
      <c r="C138" s="92">
        <v>1.09E-2</v>
      </c>
      <c r="D138" s="93">
        <f t="shared" si="10"/>
        <v>5.4718</v>
      </c>
      <c r="E138" s="94">
        <f t="shared" si="11"/>
        <v>27.359000000000002</v>
      </c>
      <c r="F138" s="93">
        <f t="shared" si="12"/>
        <v>21.8872</v>
      </c>
      <c r="G138" s="94">
        <f t="shared" si="13"/>
        <v>16.415399999999998</v>
      </c>
      <c r="H138" s="93">
        <f t="shared" si="14"/>
        <v>10.9436</v>
      </c>
      <c r="I138" s="94">
        <f t="shared" si="15"/>
        <v>5.4718</v>
      </c>
      <c r="J138" s="93">
        <f t="shared" si="16"/>
        <v>2.7359</v>
      </c>
      <c r="K138" s="94">
        <f t="shared" si="17"/>
        <v>1.8221094</v>
      </c>
      <c r="L138" s="93">
        <f t="shared" si="18"/>
        <v>1.36795</v>
      </c>
      <c r="M138" s="94">
        <f t="shared" si="19"/>
        <v>1.09436</v>
      </c>
    </row>
    <row r="139" spans="1:13" x14ac:dyDescent="0.3">
      <c r="A139" s="90">
        <v>2007</v>
      </c>
      <c r="B139" s="91">
        <v>1.0500000000000001E-2</v>
      </c>
      <c r="C139" s="92">
        <v>1.0500000000000001E-2</v>
      </c>
      <c r="D139" s="93">
        <f t="shared" si="10"/>
        <v>5.2709999999999999</v>
      </c>
      <c r="E139" s="94">
        <f t="shared" si="11"/>
        <v>26.355</v>
      </c>
      <c r="F139" s="93">
        <f t="shared" si="12"/>
        <v>21.084</v>
      </c>
      <c r="G139" s="94">
        <f t="shared" si="13"/>
        <v>15.812999999999999</v>
      </c>
      <c r="H139" s="93">
        <f t="shared" si="14"/>
        <v>10.542</v>
      </c>
      <c r="I139" s="94">
        <f t="shared" si="15"/>
        <v>5.2709999999999999</v>
      </c>
      <c r="J139" s="93">
        <f t="shared" si="16"/>
        <v>2.6355</v>
      </c>
      <c r="K139" s="94">
        <f t="shared" si="17"/>
        <v>1.7552430000000001</v>
      </c>
      <c r="L139" s="93">
        <f t="shared" si="18"/>
        <v>1.31775</v>
      </c>
      <c r="M139" s="94">
        <f t="shared" si="19"/>
        <v>1.0542</v>
      </c>
    </row>
    <row r="140" spans="1:13" x14ac:dyDescent="0.3">
      <c r="A140" s="90">
        <v>2008</v>
      </c>
      <c r="B140" s="91">
        <v>0.01</v>
      </c>
      <c r="C140" s="92">
        <v>0.01</v>
      </c>
      <c r="D140" s="93">
        <f t="shared" si="10"/>
        <v>5.0200000000000005</v>
      </c>
      <c r="E140" s="94">
        <f t="shared" si="11"/>
        <v>25.1</v>
      </c>
      <c r="F140" s="93">
        <f t="shared" si="12"/>
        <v>20.080000000000002</v>
      </c>
      <c r="G140" s="94">
        <f t="shared" si="13"/>
        <v>15.060000000000002</v>
      </c>
      <c r="H140" s="93">
        <f t="shared" si="14"/>
        <v>10.040000000000001</v>
      </c>
      <c r="I140" s="94">
        <f t="shared" si="15"/>
        <v>5.0200000000000005</v>
      </c>
      <c r="J140" s="93">
        <f t="shared" si="16"/>
        <v>2.5100000000000002</v>
      </c>
      <c r="K140" s="94">
        <f t="shared" si="17"/>
        <v>1.6716600000000001</v>
      </c>
      <c r="L140" s="93">
        <f t="shared" si="18"/>
        <v>1.2550000000000001</v>
      </c>
      <c r="M140" s="94">
        <f t="shared" si="19"/>
        <v>1.0040000000000002</v>
      </c>
    </row>
    <row r="141" spans="1:13" x14ac:dyDescent="0.3">
      <c r="A141" s="90">
        <v>2009</v>
      </c>
      <c r="B141" s="91">
        <v>9.5999999999999992E-3</v>
      </c>
      <c r="C141" s="92">
        <v>9.5999999999999992E-3</v>
      </c>
      <c r="D141" s="93">
        <f t="shared" si="10"/>
        <v>4.8191999999999995</v>
      </c>
      <c r="E141" s="94">
        <f t="shared" si="11"/>
        <v>24.095999999999997</v>
      </c>
      <c r="F141" s="93">
        <f t="shared" si="12"/>
        <v>19.276799999999998</v>
      </c>
      <c r="G141" s="94">
        <f t="shared" si="13"/>
        <v>14.457599999999999</v>
      </c>
      <c r="H141" s="93">
        <f t="shared" si="14"/>
        <v>9.638399999999999</v>
      </c>
      <c r="I141" s="94">
        <f t="shared" si="15"/>
        <v>4.8191999999999995</v>
      </c>
      <c r="J141" s="93">
        <f t="shared" si="16"/>
        <v>2.4095999999999997</v>
      </c>
      <c r="K141" s="94">
        <f t="shared" si="17"/>
        <v>1.6047935999999998</v>
      </c>
      <c r="L141" s="93">
        <f t="shared" si="18"/>
        <v>1.2047999999999999</v>
      </c>
      <c r="M141" s="94">
        <f t="shared" si="19"/>
        <v>0.96383999999999992</v>
      </c>
    </row>
    <row r="142" spans="1:13" x14ac:dyDescent="0.3">
      <c r="A142" s="90">
        <v>2010</v>
      </c>
      <c r="B142" s="91">
        <v>9.4000000000000004E-3</v>
      </c>
      <c r="C142" s="92">
        <v>9.4000000000000004E-3</v>
      </c>
      <c r="D142" s="93">
        <f t="shared" si="10"/>
        <v>4.7187999999999999</v>
      </c>
      <c r="E142" s="94">
        <f t="shared" si="11"/>
        <v>23.594000000000001</v>
      </c>
      <c r="F142" s="93">
        <f t="shared" si="12"/>
        <v>18.8752</v>
      </c>
      <c r="G142" s="94">
        <f t="shared" si="13"/>
        <v>14.1564</v>
      </c>
      <c r="H142" s="93">
        <f t="shared" si="14"/>
        <v>9.4375999999999998</v>
      </c>
      <c r="I142" s="94">
        <f t="shared" si="15"/>
        <v>4.7187999999999999</v>
      </c>
      <c r="J142" s="93">
        <f t="shared" si="16"/>
        <v>2.3593999999999999</v>
      </c>
      <c r="K142" s="94">
        <f t="shared" si="17"/>
        <v>1.5713604000000001</v>
      </c>
      <c r="L142" s="93">
        <f t="shared" si="18"/>
        <v>1.1797</v>
      </c>
      <c r="M142" s="94">
        <f t="shared" si="19"/>
        <v>0.94376000000000004</v>
      </c>
    </row>
    <row r="143" spans="1:13" x14ac:dyDescent="0.3">
      <c r="A143" s="90">
        <v>2011</v>
      </c>
      <c r="B143" s="91">
        <v>9.4000000000000004E-3</v>
      </c>
      <c r="C143" s="92">
        <v>9.4000000000000004E-3</v>
      </c>
      <c r="D143" s="93">
        <f t="shared" si="10"/>
        <v>4.7187999999999999</v>
      </c>
      <c r="E143" s="94">
        <f t="shared" si="11"/>
        <v>23.594000000000001</v>
      </c>
      <c r="F143" s="93">
        <f t="shared" si="12"/>
        <v>18.8752</v>
      </c>
      <c r="G143" s="94">
        <f t="shared" si="13"/>
        <v>14.1564</v>
      </c>
      <c r="H143" s="93">
        <f t="shared" si="14"/>
        <v>9.4375999999999998</v>
      </c>
      <c r="I143" s="94">
        <f t="shared" si="15"/>
        <v>4.7187999999999999</v>
      </c>
      <c r="J143" s="93">
        <f t="shared" si="16"/>
        <v>2.3593999999999999</v>
      </c>
      <c r="K143" s="94">
        <f t="shared" si="17"/>
        <v>1.5713604000000001</v>
      </c>
      <c r="L143" s="93">
        <f t="shared" si="18"/>
        <v>1.1797</v>
      </c>
      <c r="M143" s="94">
        <f t="shared" si="19"/>
        <v>0.94376000000000004</v>
      </c>
    </row>
    <row r="144" spans="1:13" x14ac:dyDescent="0.3">
      <c r="A144" s="90">
        <v>2012</v>
      </c>
      <c r="B144" s="91">
        <v>8.9999999999999993E-3</v>
      </c>
      <c r="C144" s="92">
        <v>8.9999999999999993E-3</v>
      </c>
      <c r="D144" s="93">
        <f t="shared" si="10"/>
        <v>4.5179999999999998</v>
      </c>
      <c r="E144" s="94">
        <f t="shared" si="11"/>
        <v>22.59</v>
      </c>
      <c r="F144" s="93">
        <f t="shared" si="12"/>
        <v>18.071999999999999</v>
      </c>
      <c r="G144" s="94">
        <f t="shared" si="13"/>
        <v>13.553999999999998</v>
      </c>
      <c r="H144" s="93">
        <f t="shared" si="14"/>
        <v>9.0359999999999996</v>
      </c>
      <c r="I144" s="94">
        <f t="shared" si="15"/>
        <v>4.5179999999999998</v>
      </c>
      <c r="J144" s="93">
        <f t="shared" si="16"/>
        <v>2.2589999999999999</v>
      </c>
      <c r="K144" s="94">
        <f t="shared" si="17"/>
        <v>1.504494</v>
      </c>
      <c r="L144" s="93">
        <f t="shared" si="18"/>
        <v>1.1294999999999999</v>
      </c>
      <c r="M144" s="94">
        <f t="shared" si="19"/>
        <v>0.90359999999999996</v>
      </c>
    </row>
    <row r="145" spans="1:13" x14ac:dyDescent="0.3">
      <c r="A145" s="90">
        <v>2013</v>
      </c>
      <c r="B145" s="91">
        <v>9.1999999999999998E-3</v>
      </c>
      <c r="C145" s="92">
        <v>9.1999999999999998E-3</v>
      </c>
      <c r="D145" s="93">
        <f t="shared" ref="D145:D155" si="20">SUM($B145)*502</f>
        <v>4.6184000000000003</v>
      </c>
      <c r="E145" s="94">
        <f t="shared" ref="E145:E155" si="21">SUM($B145)*502*5</f>
        <v>23.092000000000002</v>
      </c>
      <c r="F145" s="93">
        <f t="shared" ref="F145:F155" si="22">SUM($B145)*502*4</f>
        <v>18.473600000000001</v>
      </c>
      <c r="G145" s="94">
        <f t="shared" ref="G145:G155" si="23">SUM($B145)*502*3</f>
        <v>13.8552</v>
      </c>
      <c r="H145" s="93">
        <f t="shared" ref="H145:H155" si="24">SUM($B145)*502*2</f>
        <v>9.2368000000000006</v>
      </c>
      <c r="I145" s="94">
        <f t="shared" ref="I145:I155" si="25">SUM($B145)*502</f>
        <v>4.6184000000000003</v>
      </c>
      <c r="J145" s="93">
        <f t="shared" ref="J145:J155" si="26">SUM($B145)*502*0.5</f>
        <v>2.3092000000000001</v>
      </c>
      <c r="K145" s="94">
        <f t="shared" ref="K145:K155" si="27">SUM($B145)*502*0.333</f>
        <v>1.5379272000000002</v>
      </c>
      <c r="L145" s="93">
        <f t="shared" ref="L145:L155" si="28">SUM($B145)*502*0.25</f>
        <v>1.1546000000000001</v>
      </c>
      <c r="M145" s="94">
        <f t="shared" ref="M145:M155" si="29">SUM($B145)*502*0.2</f>
        <v>0.92368000000000006</v>
      </c>
    </row>
    <row r="146" spans="1:13" x14ac:dyDescent="0.3">
      <c r="A146" s="90">
        <v>2014</v>
      </c>
      <c r="B146" s="91">
        <v>0.01</v>
      </c>
      <c r="C146" s="92">
        <v>0.01</v>
      </c>
      <c r="D146" s="93">
        <f t="shared" si="20"/>
        <v>5.0200000000000005</v>
      </c>
      <c r="E146" s="94">
        <f t="shared" si="21"/>
        <v>25.1</v>
      </c>
      <c r="F146" s="93">
        <f t="shared" si="22"/>
        <v>20.080000000000002</v>
      </c>
      <c r="G146" s="94">
        <f t="shared" si="23"/>
        <v>15.060000000000002</v>
      </c>
      <c r="H146" s="93">
        <f t="shared" si="24"/>
        <v>10.040000000000001</v>
      </c>
      <c r="I146" s="94">
        <f t="shared" si="25"/>
        <v>5.0200000000000005</v>
      </c>
      <c r="J146" s="93">
        <f t="shared" si="26"/>
        <v>2.5100000000000002</v>
      </c>
      <c r="K146" s="94">
        <f t="shared" si="27"/>
        <v>1.6716600000000001</v>
      </c>
      <c r="L146" s="93">
        <f t="shared" si="28"/>
        <v>1.2550000000000001</v>
      </c>
      <c r="M146" s="94">
        <f t="shared" si="29"/>
        <v>1.0040000000000002</v>
      </c>
    </row>
    <row r="147" spans="1:13" x14ac:dyDescent="0.3">
      <c r="A147" s="90">
        <v>2015</v>
      </c>
      <c r="B147" s="91">
        <v>9.7000000000000003E-3</v>
      </c>
      <c r="C147" s="92">
        <v>9.7000000000000003E-3</v>
      </c>
      <c r="D147" s="93">
        <f t="shared" si="20"/>
        <v>4.8693999999999997</v>
      </c>
      <c r="E147" s="94">
        <f t="shared" si="21"/>
        <v>24.346999999999998</v>
      </c>
      <c r="F147" s="93">
        <f t="shared" si="22"/>
        <v>19.477599999999999</v>
      </c>
      <c r="G147" s="94">
        <f t="shared" si="23"/>
        <v>14.6082</v>
      </c>
      <c r="H147" s="93">
        <f t="shared" si="24"/>
        <v>9.7387999999999995</v>
      </c>
      <c r="I147" s="94">
        <f t="shared" si="25"/>
        <v>4.8693999999999997</v>
      </c>
      <c r="J147" s="93">
        <f t="shared" si="26"/>
        <v>2.4346999999999999</v>
      </c>
      <c r="K147" s="94">
        <f t="shared" si="27"/>
        <v>1.6215101999999999</v>
      </c>
      <c r="L147" s="93">
        <f t="shared" si="28"/>
        <v>1.2173499999999999</v>
      </c>
      <c r="M147" s="94">
        <f t="shared" si="29"/>
        <v>0.97387999999999997</v>
      </c>
    </row>
    <row r="148" spans="1:13" x14ac:dyDescent="0.3">
      <c r="A148" s="90">
        <v>2016</v>
      </c>
      <c r="B148" s="91">
        <v>0.01</v>
      </c>
      <c r="C148" s="92">
        <v>0.01</v>
      </c>
      <c r="D148" s="93">
        <f t="shared" si="20"/>
        <v>5.0200000000000005</v>
      </c>
      <c r="E148" s="94">
        <f t="shared" si="21"/>
        <v>25.1</v>
      </c>
      <c r="F148" s="93">
        <f t="shared" si="22"/>
        <v>20.080000000000002</v>
      </c>
      <c r="G148" s="94">
        <f t="shared" si="23"/>
        <v>15.060000000000002</v>
      </c>
      <c r="H148" s="93">
        <f t="shared" si="24"/>
        <v>10.040000000000001</v>
      </c>
      <c r="I148" s="94">
        <f t="shared" si="25"/>
        <v>5.0200000000000005</v>
      </c>
      <c r="J148" s="93">
        <f t="shared" si="26"/>
        <v>2.5100000000000002</v>
      </c>
      <c r="K148" s="94">
        <f t="shared" si="27"/>
        <v>1.6716600000000001</v>
      </c>
      <c r="L148" s="93">
        <f t="shared" si="28"/>
        <v>1.2550000000000001</v>
      </c>
      <c r="M148" s="94">
        <f t="shared" si="29"/>
        <v>1.0040000000000002</v>
      </c>
    </row>
    <row r="149" spans="1:13" x14ac:dyDescent="0.3">
      <c r="A149" s="90">
        <v>2017</v>
      </c>
      <c r="B149" s="91">
        <v>1.06E-2</v>
      </c>
      <c r="C149" s="92">
        <v>1.06E-2</v>
      </c>
      <c r="D149" s="93">
        <f t="shared" si="20"/>
        <v>5.3212000000000002</v>
      </c>
      <c r="E149" s="94">
        <f t="shared" si="21"/>
        <v>26.606000000000002</v>
      </c>
      <c r="F149" s="93">
        <f t="shared" si="22"/>
        <v>21.284800000000001</v>
      </c>
      <c r="G149" s="94">
        <f t="shared" si="23"/>
        <v>15.9636</v>
      </c>
      <c r="H149" s="93">
        <f t="shared" si="24"/>
        <v>10.6424</v>
      </c>
      <c r="I149" s="94">
        <f t="shared" si="25"/>
        <v>5.3212000000000002</v>
      </c>
      <c r="J149" s="93">
        <f t="shared" si="26"/>
        <v>2.6606000000000001</v>
      </c>
      <c r="K149" s="94">
        <f t="shared" si="27"/>
        <v>1.7719596000000002</v>
      </c>
      <c r="L149" s="93">
        <f t="shared" si="28"/>
        <v>1.3303</v>
      </c>
      <c r="M149" s="94">
        <f t="shared" si="29"/>
        <v>1.0642400000000001</v>
      </c>
    </row>
    <row r="150" spans="1:13" x14ac:dyDescent="0.3">
      <c r="A150" s="90">
        <v>2018</v>
      </c>
      <c r="B150" s="91">
        <v>1.1599999999999999E-2</v>
      </c>
      <c r="C150" s="92">
        <v>1.1599999999999999E-2</v>
      </c>
      <c r="D150" s="93">
        <f t="shared" si="20"/>
        <v>5.8231999999999999</v>
      </c>
      <c r="E150" s="94">
        <f t="shared" si="21"/>
        <v>29.116</v>
      </c>
      <c r="F150" s="93">
        <f t="shared" si="22"/>
        <v>23.2928</v>
      </c>
      <c r="G150" s="94">
        <f t="shared" si="23"/>
        <v>17.4696</v>
      </c>
      <c r="H150" s="93">
        <f t="shared" si="24"/>
        <v>11.6464</v>
      </c>
      <c r="I150" s="94">
        <f t="shared" si="25"/>
        <v>5.8231999999999999</v>
      </c>
      <c r="J150" s="93">
        <f t="shared" si="26"/>
        <v>2.9116</v>
      </c>
      <c r="K150" s="94">
        <f t="shared" si="27"/>
        <v>1.9391256000000001</v>
      </c>
      <c r="L150" s="93">
        <f t="shared" si="28"/>
        <v>1.4558</v>
      </c>
      <c r="M150" s="94">
        <f t="shared" si="29"/>
        <v>1.1646400000000001</v>
      </c>
    </row>
    <row r="151" spans="1:13" x14ac:dyDescent="0.3">
      <c r="A151" s="90">
        <v>2019</v>
      </c>
      <c r="B151" s="91">
        <v>1.1900000000000001E-2</v>
      </c>
      <c r="C151" s="92">
        <v>1.1900000000000001E-2</v>
      </c>
      <c r="D151" s="93">
        <f t="shared" si="20"/>
        <v>5.9738000000000007</v>
      </c>
      <c r="E151" s="94">
        <f t="shared" si="21"/>
        <v>29.869000000000003</v>
      </c>
      <c r="F151" s="93">
        <f t="shared" si="22"/>
        <v>23.895200000000003</v>
      </c>
      <c r="G151" s="94">
        <f t="shared" si="23"/>
        <v>17.921400000000002</v>
      </c>
      <c r="H151" s="93">
        <f t="shared" si="24"/>
        <v>11.947600000000001</v>
      </c>
      <c r="I151" s="94">
        <f t="shared" si="25"/>
        <v>5.9738000000000007</v>
      </c>
      <c r="J151" s="93">
        <f t="shared" si="26"/>
        <v>2.9869000000000003</v>
      </c>
      <c r="K151" s="94">
        <f t="shared" si="27"/>
        <v>1.9892754000000004</v>
      </c>
      <c r="L151" s="93">
        <f t="shared" si="28"/>
        <v>1.4934500000000002</v>
      </c>
      <c r="M151" s="94">
        <f t="shared" si="29"/>
        <v>1.1947600000000003</v>
      </c>
    </row>
    <row r="152" spans="1:13" x14ac:dyDescent="0.3">
      <c r="A152" s="90">
        <v>2020</v>
      </c>
      <c r="B152" s="91">
        <v>1.3899999999999999E-2</v>
      </c>
      <c r="C152" s="92">
        <v>1.3899999999999999E-2</v>
      </c>
      <c r="D152" s="93">
        <f t="shared" si="20"/>
        <v>6.9777999999999993</v>
      </c>
      <c r="E152" s="94">
        <f t="shared" si="21"/>
        <v>34.888999999999996</v>
      </c>
      <c r="F152" s="93">
        <f t="shared" si="22"/>
        <v>27.911199999999997</v>
      </c>
      <c r="G152" s="94">
        <f t="shared" si="23"/>
        <v>20.933399999999999</v>
      </c>
      <c r="H152" s="93">
        <f t="shared" si="24"/>
        <v>13.955599999999999</v>
      </c>
      <c r="I152" s="94">
        <f t="shared" si="25"/>
        <v>6.9777999999999993</v>
      </c>
      <c r="J152" s="93">
        <f t="shared" si="26"/>
        <v>3.4888999999999997</v>
      </c>
      <c r="K152" s="94">
        <f t="shared" si="27"/>
        <v>2.3236073999999998</v>
      </c>
      <c r="L152" s="93">
        <f t="shared" si="28"/>
        <v>1.7444499999999998</v>
      </c>
      <c r="M152" s="94">
        <f t="shared" si="29"/>
        <v>1.3955599999999999</v>
      </c>
    </row>
    <row r="153" spans="1:13" x14ac:dyDescent="0.3">
      <c r="A153" s="90">
        <v>2021</v>
      </c>
      <c r="B153" s="91">
        <v>1.2999999999999999E-2</v>
      </c>
      <c r="C153" s="92">
        <v>1.3100000000000001E-2</v>
      </c>
      <c r="D153" s="93">
        <f t="shared" si="20"/>
        <v>6.5259999999999998</v>
      </c>
      <c r="E153" s="94">
        <f t="shared" si="21"/>
        <v>32.629999999999995</v>
      </c>
      <c r="F153" s="93">
        <f t="shared" si="22"/>
        <v>26.103999999999999</v>
      </c>
      <c r="G153" s="94">
        <f t="shared" si="23"/>
        <v>19.577999999999999</v>
      </c>
      <c r="H153" s="93">
        <f t="shared" si="24"/>
        <v>13.052</v>
      </c>
      <c r="I153" s="94">
        <f t="shared" si="25"/>
        <v>6.5259999999999998</v>
      </c>
      <c r="J153" s="93">
        <f t="shared" si="26"/>
        <v>3.2629999999999999</v>
      </c>
      <c r="K153" s="94">
        <f t="shared" si="27"/>
        <v>2.1731579999999999</v>
      </c>
      <c r="L153" s="93">
        <f t="shared" si="28"/>
        <v>1.6315</v>
      </c>
      <c r="M153" s="94">
        <f t="shared" si="29"/>
        <v>1.3052000000000001</v>
      </c>
    </row>
    <row r="154" spans="1:13" x14ac:dyDescent="0.3">
      <c r="A154" s="90">
        <v>2022</v>
      </c>
      <c r="B154" s="91">
        <v>1.2500000000000001E-2</v>
      </c>
      <c r="C154" s="92">
        <v>1.2500000000000001E-2</v>
      </c>
      <c r="D154" s="93">
        <f t="shared" si="20"/>
        <v>6.2750000000000004</v>
      </c>
      <c r="E154" s="94">
        <f t="shared" si="21"/>
        <v>31.375</v>
      </c>
      <c r="F154" s="93">
        <f t="shared" si="22"/>
        <v>25.1</v>
      </c>
      <c r="G154" s="94">
        <f t="shared" si="23"/>
        <v>18.825000000000003</v>
      </c>
      <c r="H154" s="93">
        <f t="shared" si="24"/>
        <v>12.55</v>
      </c>
      <c r="I154" s="94">
        <f t="shared" si="25"/>
        <v>6.2750000000000004</v>
      </c>
      <c r="J154" s="93">
        <f t="shared" si="26"/>
        <v>3.1375000000000002</v>
      </c>
      <c r="K154" s="94">
        <f t="shared" si="27"/>
        <v>2.0895750000000004</v>
      </c>
      <c r="L154" s="93">
        <f t="shared" si="28"/>
        <v>1.5687500000000001</v>
      </c>
      <c r="M154" s="94">
        <f t="shared" si="29"/>
        <v>1.2550000000000001</v>
      </c>
    </row>
    <row r="155" spans="1:13" x14ac:dyDescent="0.3">
      <c r="A155" s="90">
        <v>2023</v>
      </c>
      <c r="B155" s="91">
        <v>1.2800000000000001E-2</v>
      </c>
      <c r="C155" s="92">
        <v>1.2800000000000001E-2</v>
      </c>
      <c r="D155" s="93">
        <f t="shared" si="20"/>
        <v>6.4256000000000002</v>
      </c>
      <c r="E155" s="94">
        <f t="shared" si="21"/>
        <v>32.128</v>
      </c>
      <c r="F155" s="93">
        <f t="shared" si="22"/>
        <v>25.702400000000001</v>
      </c>
      <c r="G155" s="94">
        <f t="shared" si="23"/>
        <v>19.276800000000001</v>
      </c>
      <c r="H155" s="93">
        <f t="shared" si="24"/>
        <v>12.8512</v>
      </c>
      <c r="I155" s="94">
        <f t="shared" si="25"/>
        <v>6.4256000000000002</v>
      </c>
      <c r="J155" s="93">
        <f t="shared" si="26"/>
        <v>3.2128000000000001</v>
      </c>
      <c r="K155" s="94">
        <f t="shared" si="27"/>
        <v>2.1397248000000002</v>
      </c>
      <c r="L155" s="93">
        <f t="shared" si="28"/>
        <v>1.6064000000000001</v>
      </c>
      <c r="M155" s="94">
        <f t="shared" si="29"/>
        <v>1.28512</v>
      </c>
    </row>
    <row r="156" spans="1:13" x14ac:dyDescent="0.3">
      <c r="A156" s="95" t="s">
        <v>108</v>
      </c>
      <c r="B156" s="96">
        <f>SUM(B16:B153)/A158</f>
        <v>6.7620915032679738E-3</v>
      </c>
      <c r="C156" s="97">
        <f>AVERAGE(C16:C155)</f>
        <v>7.5714285714285701E-3</v>
      </c>
      <c r="D156" s="84">
        <f>SUM(B156)*502</f>
        <v>3.3945699346405229</v>
      </c>
      <c r="E156" s="84">
        <f t="shared" ref="E156:M156" si="30">SUM(E16:E153)/$A$158</f>
        <v>16.972849673202617</v>
      </c>
      <c r="F156" s="84">
        <f t="shared" si="30"/>
        <v>13.578279738562085</v>
      </c>
      <c r="G156" s="84">
        <f t="shared" si="30"/>
        <v>10.18370980392157</v>
      </c>
      <c r="H156" s="84">
        <f t="shared" si="30"/>
        <v>6.7891398692810423</v>
      </c>
      <c r="I156" s="84">
        <f t="shared" si="30"/>
        <v>3.3945699346405211</v>
      </c>
      <c r="J156" s="84">
        <f t="shared" si="30"/>
        <v>1.6972849673202606</v>
      </c>
      <c r="K156" s="84">
        <f t="shared" si="30"/>
        <v>1.1303917882352947</v>
      </c>
      <c r="L156" s="84">
        <f t="shared" si="30"/>
        <v>0.84864248366013029</v>
      </c>
      <c r="M156" s="84">
        <f t="shared" si="30"/>
        <v>0.67891398692810501</v>
      </c>
    </row>
    <row r="157" spans="1:13" x14ac:dyDescent="0.3">
      <c r="A157" s="80" t="s">
        <v>50</v>
      </c>
      <c r="B157" s="81" t="s">
        <v>94</v>
      </c>
      <c r="C157" s="82" t="s">
        <v>95</v>
      </c>
      <c r="D157" s="83" t="s">
        <v>109</v>
      </c>
      <c r="E157" s="84" t="s">
        <v>97</v>
      </c>
      <c r="F157" s="83" t="s">
        <v>98</v>
      </c>
      <c r="G157" s="84" t="s">
        <v>99</v>
      </c>
      <c r="H157" s="83" t="s">
        <v>100</v>
      </c>
      <c r="I157" s="84" t="s">
        <v>101</v>
      </c>
      <c r="J157" s="83" t="s">
        <v>102</v>
      </c>
      <c r="K157" s="84" t="s">
        <v>103</v>
      </c>
      <c r="L157" s="83" t="s">
        <v>104</v>
      </c>
      <c r="M157" s="84" t="s">
        <v>105</v>
      </c>
    </row>
    <row r="158" spans="1:13" x14ac:dyDescent="0.3">
      <c r="A158" s="98">
        <f>COUNTA(A3:A155)</f>
        <v>153</v>
      </c>
      <c r="B158" s="91"/>
      <c r="C158" s="92"/>
      <c r="D158" s="93"/>
      <c r="E158" s="93"/>
      <c r="F158" s="93"/>
      <c r="G158" s="93"/>
      <c r="H158" s="93"/>
      <c r="I158" s="93"/>
      <c r="J158" s="93"/>
      <c r="K158" s="93"/>
      <c r="L158" s="93"/>
      <c r="M158" s="93"/>
    </row>
  </sheetData>
  <sheetProtection algorithmName="SHA-512" hashValue="QfQftsMPWVJhgMmcKohHYvk2QVvNc+fOxKVsr5ygxxHg4cKdWewTSgLE/u8h50TKGobTBpcHAJ2/6W+kHy/iRg==" saltValue="NMsM9nqtRppauPhnjM5zjw==" spinCount="100000" sheet="1" objects="1" scenarios="1"/>
  <conditionalFormatting sqref="A1:M155 A157:M157">
    <cfRule type="expression" dxfId="0" priority="1">
      <formula>MOD(ROW(),2)=0</formula>
    </cfRule>
    <cfRule type="expression" priority="2">
      <formula>"MOD(ROW(),2=0"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SBS Toolbox v1.0</vt:lpstr>
      <vt:lpstr>Instructions</vt:lpstr>
      <vt:lpstr>HBP (502 AB)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Tairui Kong</cp:lastModifiedBy>
  <dcterms:created xsi:type="dcterms:W3CDTF">2023-01-17T01:02:46Z</dcterms:created>
  <dcterms:modified xsi:type="dcterms:W3CDTF">2023-10-02T04:13:54Z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f958ea30-e94d-4210-9f28-bd5a79403271</vt:lpwstr>
  </property>
  <property fmtid="{D5CDD505-2E9C-101B-9397-08002B2CF9AE}" pid="3" name="ConnectionInfosStorage">
    <vt:lpwstr>WorkbookXmlParts</vt:lpwstr>
  </property>
</Properties>
</file>