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USBKB\business\"/>
    </mc:Choice>
  </mc:AlternateContent>
  <xr:revisionPtr revIDLastSave="0" documentId="13_ncr:1_{E231213A-B333-42F9-B899-3601181EB93F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Part List" sheetId="1" r:id="rId1"/>
    <sheet name="Shipping" sheetId="2" r:id="rId2"/>
    <sheet name="Pricing" sheetId="3" r:id="rId3"/>
    <sheet name="Profit and Loss" sheetId="4" r:id="rId4"/>
    <sheet name="Startup Co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F8" i="1"/>
  <c r="F5" i="1"/>
  <c r="F7" i="1"/>
  <c r="F6" i="2"/>
  <c r="G6" i="2" s="1"/>
  <c r="F5" i="2"/>
  <c r="G5" i="2" s="1"/>
  <c r="F4" i="2"/>
  <c r="G4" i="2" s="1"/>
  <c r="F3" i="2"/>
  <c r="G3" i="2" s="1"/>
  <c r="F2" i="2"/>
  <c r="G2" i="2" s="1"/>
  <c r="F6" i="1"/>
  <c r="F18" i="1"/>
  <c r="F2" i="1"/>
  <c r="F17" i="1"/>
  <c r="D20" i="1"/>
  <c r="B2" i="5" s="1"/>
  <c r="F19" i="1"/>
  <c r="F13" i="1"/>
  <c r="F9" i="1"/>
  <c r="F3" i="1"/>
  <c r="F10" i="1"/>
  <c r="F14" i="1"/>
  <c r="F11" i="1"/>
  <c r="F15" i="1"/>
  <c r="F16" i="1"/>
  <c r="F4" i="1"/>
  <c r="F12" i="1"/>
  <c r="G8" i="2" l="1"/>
  <c r="B4" i="3" s="1"/>
  <c r="F20" i="1"/>
  <c r="C2" i="3" s="1"/>
  <c r="C5" i="3" l="1"/>
  <c r="C6" i="3" s="1"/>
  <c r="C8" i="3" s="1"/>
  <c r="B2" i="4" s="1"/>
  <c r="B3" i="5"/>
  <c r="B6" i="5" s="1"/>
  <c r="B3" i="4" s="1"/>
  <c r="B4" i="4" l="1"/>
</calcChain>
</file>

<file path=xl/sharedStrings.xml><?xml version="1.0" encoding="utf-8"?>
<sst xmlns="http://schemas.openxmlformats.org/spreadsheetml/2006/main" count="94" uniqueCount="82">
  <si>
    <t>Item</t>
  </si>
  <si>
    <t>Item Code</t>
  </si>
  <si>
    <t>Bulk Amount</t>
  </si>
  <si>
    <t>Bulk Price</t>
  </si>
  <si>
    <t>Link</t>
  </si>
  <si>
    <t>Atmega32u4-mu</t>
  </si>
  <si>
    <t>https://www.digikey.ie/en/products/detail/microchip-technology/ATMEGA32U4-MU/1914603</t>
  </si>
  <si>
    <t>Total</t>
  </si>
  <si>
    <t>Keycap</t>
  </si>
  <si>
    <t>USB Type-C</t>
  </si>
  <si>
    <t>22 ohm resistor</t>
  </si>
  <si>
    <t>Notes</t>
  </si>
  <si>
    <t>PCB</t>
  </si>
  <si>
    <t>Cardboard boxing</t>
  </si>
  <si>
    <t>https://premade.packhelp.com/product/pre-printed-eco-mailer-box/</t>
  </si>
  <si>
    <t>https://cart.jlcpcb.com/quote?orderType=1&amp;stencilLayer=2&amp;stencilWidth=310&amp;stencilLength=100&amp;stencilCounts=10</t>
  </si>
  <si>
    <t>https://www.digikey.ie/en/products/detail/abracon-llc/ABM8G-16-000MHZ-18-D2Y-T/2218013</t>
  </si>
  <si>
    <t>ABM8G-16.000MHZ-18-D2Y-T</t>
  </si>
  <si>
    <t>Kailh hotswap socket</t>
  </si>
  <si>
    <t>https://www.aliexpress.com/item/4000019410050.html</t>
  </si>
  <si>
    <t>16MHz crystal oscillator</t>
  </si>
  <si>
    <t>Red switch</t>
  </si>
  <si>
    <t>https://www.aliexpress.com/item/1005003981373212.html</t>
  </si>
  <si>
    <t>https://www.digikey.ie/en/products/detail/stackpole-electronics-inc/RMCF0805JT22R0/1757897</t>
  </si>
  <si>
    <t>22pF capacitor</t>
  </si>
  <si>
    <t>1uF capacitor</t>
  </si>
  <si>
    <t>CC0805JRNPO9BN220</t>
  </si>
  <si>
    <t>CC0805KKX7R7BB105</t>
  </si>
  <si>
    <t>https://www.digikey.ie/en/products/detail/yageo/CC0805JRNPO9BN220/302837</t>
  </si>
  <si>
    <t>https://www.digikey.ie/en/products/detail/yageo/CC0805KKX7R7BB105/2103103</t>
  </si>
  <si>
    <t>Aluminium plate</t>
  </si>
  <si>
    <t>TODO</t>
  </si>
  <si>
    <t>https://www.digikey.ie/en/products/detail/gct/USB4105-GF-A/11198441</t>
  </si>
  <si>
    <t>USB4105-GF-A</t>
  </si>
  <si>
    <t>Stabilisers</t>
  </si>
  <si>
    <t>Amount Required</t>
  </si>
  <si>
    <t>Price Per Product</t>
  </si>
  <si>
    <t>Shipper #</t>
  </si>
  <si>
    <t>Name</t>
  </si>
  <si>
    <t>Discount Threshold</t>
  </si>
  <si>
    <t>Discount %</t>
  </si>
  <si>
    <t>Final Shipping Cost</t>
  </si>
  <si>
    <t>DigiKey</t>
  </si>
  <si>
    <t>JLCPCB</t>
  </si>
  <si>
    <t>Cost of Parts</t>
  </si>
  <si>
    <t>Cost of Shipping</t>
  </si>
  <si>
    <t>Packhelp</t>
  </si>
  <si>
    <t>Total Items Cost</t>
  </si>
  <si>
    <t>Shipping Cost</t>
  </si>
  <si>
    <t>CPG151101S11</t>
  </si>
  <si>
    <t>Xometry</t>
  </si>
  <si>
    <t>https://get.xometry.eu/quotes</t>
  </si>
  <si>
    <t>€</t>
  </si>
  <si>
    <t># Products</t>
  </si>
  <si>
    <t>Shipping Cost Per Product</t>
  </si>
  <si>
    <t>Net Product Cost</t>
  </si>
  <si>
    <t>Final Cost of Product</t>
  </si>
  <si>
    <t>Title</t>
  </si>
  <si>
    <t>€€</t>
  </si>
  <si>
    <t>Profit Markup</t>
  </si>
  <si>
    <t>Turnover</t>
  </si>
  <si>
    <t>Less Cost of Sales</t>
  </si>
  <si>
    <t>Gross Profit</t>
  </si>
  <si>
    <t>Sound dampener</t>
  </si>
  <si>
    <t>https://www.aliexpress.com/item/32864774665.html</t>
  </si>
  <si>
    <t>AliExpress</t>
  </si>
  <si>
    <t>Case</t>
  </si>
  <si>
    <t>O-Ring</t>
  </si>
  <si>
    <t>https://www.amazon.co.uk/Sumind-Keyboard-Dampeners-Plastic-Mechanical/dp/B0761TSWF3/</t>
  </si>
  <si>
    <t>https://www.aliexpress.com/item/1005002631669558.html</t>
  </si>
  <si>
    <t>RGB LED</t>
  </si>
  <si>
    <t>SK6812 MINI-E</t>
  </si>
  <si>
    <t>https://www.aliexpress.com/item/1005003546105399.html</t>
  </si>
  <si>
    <t>https://www.aliexpress.com/item/1005004028236758.html</t>
  </si>
  <si>
    <t>???</t>
  </si>
  <si>
    <t>Diode</t>
  </si>
  <si>
    <t>https://www.digikey.ie/en/products/detail/micro-commercial-co/1N4148WX-TP/717197</t>
  </si>
  <si>
    <t>NOTE DIGIKEY ORDERS DO NOT INCLUDE VAT</t>
  </si>
  <si>
    <t>https://ie.farnell.com/vishay/crcw080522r0fkea/res-22r-1-0-125w-0805-thick-film/dp/1652962?st=22%20ohm%20resistor%20smd</t>
  </si>
  <si>
    <t>1N4148WX-TP / 1N4148WS-7-F</t>
  </si>
  <si>
    <t>ATMEGA32U4-MU</t>
  </si>
  <si>
    <t>RMCF0805JT22R0 /  CRCW080522R0FKEA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</si>
</sst>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1809]* #,##0.00_-;\-[$€-1809]* #,##0.00_-;_-[$€-1809]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9" fontId="0" fillId="0" borderId="0" xfId="2" applyFont="1"/>
    <xf numFmtId="44" fontId="0" fillId="0" borderId="0" xfId="3" applyFont="1"/>
    <xf numFmtId="164" fontId="0" fillId="0" borderId="0" xfId="0" applyNumberFormat="1"/>
    <xf numFmtId="164" fontId="0" fillId="0" borderId="0" xfId="4" applyNumberFormat="1" applyFont="1"/>
    <xf numFmtId="164" fontId="0" fillId="0" borderId="1" xfId="0" applyNumberFormat="1" applyBorder="1"/>
    <xf numFmtId="9" fontId="0" fillId="0" borderId="1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0" xfId="1" applyAlignment="1">
      <alignment horizontal="fill"/>
    </xf>
    <xf numFmtId="44" fontId="0" fillId="0" borderId="0" xfId="0" applyNumberFormat="1"/>
    <xf numFmtId="164" fontId="0" fillId="0" borderId="0" xfId="3" applyNumberFormat="1" applyFont="1"/>
    <xf numFmtId="0" fontId="0" fillId="0" borderId="0" xfId="0" applyAlignment="1">
      <alignment wrapText="1"/>
    </xf>
  </cellXfs>
  <cellStyles count="5">
    <cellStyle name="Comma" xfId="4" builtinId="3"/>
    <cellStyle name="Currency" xfId="3" builtinId="4"/>
    <cellStyle name="Hyperlink" xfId="1" builtinId="8"/>
    <cellStyle name="Normal" xfId="0" builtinId="0"/>
    <cellStyle name="Percent" xfId="2" builtinId="5"/>
  </cellStyles>
  <dxfs count="9">
    <dxf>
      <numFmt numFmtId="34" formatCode="_-&quot;€&quot;* #,##0.00_-;\-&quot;€&quot;* #,##0.00_-;_-&quot;€&quot;* &quot;-&quot;??_-;_-@_-"/>
    </dxf>
    <dxf>
      <numFmt numFmtId="34" formatCode="_-&quot;€&quot;* #,##0.00_-;\-&quot;€&quot;* #,##0.00_-;_-&quot;€&quot;* &quot;-&quot;??_-;_-@_-"/>
    </dxf>
    <dxf>
      <numFmt numFmtId="164" formatCode="_-[$€-1809]* #,##0.00_-;\-[$€-1809]* #,##0.00_-;_-[$€-1809]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alignment horizontal="fil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A507-846B-4C1E-857D-6A1DC9B94F2A}" name="Product" displayName="Product" ref="A1:I20" totalsRowCount="1">
  <autoFilter ref="A1:I19" xr:uid="{A5B2A507-846B-4C1E-857D-6A1DC9B94F2A}"/>
  <sortState xmlns:xlrd2="http://schemas.microsoft.com/office/spreadsheetml/2017/richdata2" ref="A2:I19">
    <sortCondition ref="G1:G19"/>
  </sortState>
  <tableColumns count="9">
    <tableColumn id="1" xr3:uid="{FC55CD13-AEA3-4A34-8C30-C21DDC109ED5}" name="Item" totalsRowLabel="Total"/>
    <tableColumn id="2" xr3:uid="{F78DCBEF-EFE2-4614-96AB-F9F26F0F356B}" name="Item Code"/>
    <tableColumn id="3" xr3:uid="{74C2F96D-B077-41FE-97D3-44F2D50D1991}" name="Bulk Amount"/>
    <tableColumn id="4" xr3:uid="{BE58D40E-C9F3-4603-8913-8D8EDC5D2F3E}" name="Bulk Price" totalsRowFunction="sum" totalsRowDxfId="1" dataCellStyle="Currency"/>
    <tableColumn id="7" xr3:uid="{14050057-8386-40CF-8EFF-AA4B79EC4B45}" name="Amount Required"/>
    <tableColumn id="5" xr3:uid="{A2756D08-6B39-4087-850F-D368262F3916}" name="Price Per Product" totalsRowFunction="sum" totalsRowDxfId="0" dataCellStyle="Currency">
      <calculatedColumnFormula>(Product[[#This Row],[Bulk Price]] * Product[[#This Row],[Amount Required]])/Product[[#This Row],[Bulk Amount]]</calculatedColumnFormula>
    </tableColumn>
    <tableColumn id="10" xr3:uid="{EFA10657-4E6F-4746-946B-C366EB641E89}" name="Shipper #"/>
    <tableColumn id="6" xr3:uid="{BE90050D-FF28-4B34-9EF1-38D899405D92}" name="Link" dataDxfId="8"/>
    <tableColumn id="8" xr3:uid="{BB457E6F-2E65-4946-B94F-0519D58C2E65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08B54-EF1B-4ED2-A73F-DBC0452C2048}" name="Shipping" displayName="Shipping" ref="A1:G8" totalsRowCount="1">
  <autoFilter ref="A1:G7" xr:uid="{8FE08B54-EF1B-4ED2-A73F-DBC0452C2048}"/>
  <tableColumns count="7">
    <tableColumn id="1" xr3:uid="{D814D6E7-02BA-4662-8171-E36B08AEDAFC}" name="Shipper #" totalsRowLabel="Total"/>
    <tableColumn id="2" xr3:uid="{860B23DE-DFF9-4D8E-9CD3-181A9FD87038}" name="Name"/>
    <tableColumn id="3" xr3:uid="{E159C8E6-48A1-4634-A833-D80999A48180}" name="Shipping Cost" totalsRowDxfId="7" dataCellStyle="Currency"/>
    <tableColumn id="4" xr3:uid="{C8C73543-E2B5-4932-83DB-BF0A32753EF8}" name="Discount Threshold" dataDxfId="6"/>
    <tableColumn id="5" xr3:uid="{6F14FEB9-53F9-4CD8-B03C-98E0D999D5B0}" name="Discount %" dataCellStyle="Percent"/>
    <tableColumn id="7" xr3:uid="{FFD1D024-2F5D-462B-84E6-5D06AB4D8B3E}" name="Total Items Cost" totalsRowDxfId="5" dataCellStyle="Currency">
      <calculatedColumnFormula>SUMIF(Product[Shipper '#],  Shipping[[#This Row],[Shipper '#]], Product[Bulk Price])</calculatedColumnFormula>
    </tableColumn>
    <tableColumn id="6" xr3:uid="{B0E68DB8-28BC-49A8-86E4-AD3CC8775D3A}" name="Final Shipping Cost" totalsRowFunction="sum" totalsRowDxfId="4" dataCellStyle="Currency">
      <calculatedColumnFormula>IF(Shipping[[#This Row],[Discount Threshold]] &lt;= Shipping[[#This Row],[Total Items Cost]], Shipping[[#This Row],[Shipping Cost]] *(100% - Shipping[[#This Row],[Discount %]]), Shipping[[#This Row],[Shipping Cost]])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978A2-11F2-47CE-87CC-3F1A9A6B6C3A}" name="Table4" displayName="Table4" ref="A1:C8" totalsRowShown="0">
  <autoFilter ref="A1:C8" xr:uid="{7D3978A2-11F2-47CE-87CC-3F1A9A6B6C3A}"/>
  <tableColumns count="3">
    <tableColumn id="1" xr3:uid="{05C6954B-F47A-4406-BF4D-61EB8074D25B}" name="Title"/>
    <tableColumn id="6" xr3:uid="{D66AEC5C-A0FB-4BDA-87AC-30B816E66DED}" name="€"/>
    <tableColumn id="2" xr3:uid="{D0673496-5EB7-4955-9BA6-3567B34A215A}" name="€€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A7B8D-3FB6-4DE1-AD49-0EC642096BF4}" name="Table5" displayName="Table5" ref="A1:B4" totalsRowShown="0">
  <autoFilter ref="A1:B4" xr:uid="{A51A7B8D-3FB6-4DE1-AD49-0EC642096BF4}"/>
  <tableColumns count="2">
    <tableColumn id="1" xr3:uid="{66001614-CD5B-43F9-992A-7AFC11DFE986}" name="Title"/>
    <tableColumn id="2" xr3:uid="{697DB730-2688-4DB7-B7E8-92615322C603}" name="€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66BC8-EA6C-4259-AC78-5701EA26F788}" name="Totals" displayName="Totals" ref="A1:B6" totalsRowCount="1">
  <autoFilter ref="A1:B5" xr:uid="{7B666BC8-EA6C-4259-AC78-5701EA26F788}"/>
  <tableColumns count="2">
    <tableColumn id="1" xr3:uid="{C05490DE-0DBF-4579-8E0A-0B5BEEA8F6F2}" name="Title" totalsRowLabel="Total"/>
    <tableColumn id="2" xr3:uid="{2EB7FFE6-45DB-434A-89FC-6ADAD146844C}" name="€" totalsRowFunction="sum" dataDxfId="3" totalsRowDxfId="2" totalsRowCellStyle="Comma">
      <calculatedColumnFormula>Product[[#Totals],[Bulk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ie/en/products/detail/yageo/CC0805JRNPO9BN220/302837" TargetMode="External"/><Relationship Id="rId13" Type="http://schemas.openxmlformats.org/officeDocument/2006/relationships/hyperlink" Target="https://www.amazon.co.uk/Sumind-Keyboard-Dampeners-Plastic-Mechanical/dp/B0761TSWF3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cart.jlcpcb.com/quote?orderType=1&amp;stencilLayer=2&amp;stencilWidth=310&amp;stencilLength=100&amp;stencilCounts=10" TargetMode="External"/><Relationship Id="rId7" Type="http://schemas.openxmlformats.org/officeDocument/2006/relationships/hyperlink" Target="https://www.aliexpress.com/item/1005003981373212.html" TargetMode="External"/><Relationship Id="rId12" Type="http://schemas.openxmlformats.org/officeDocument/2006/relationships/hyperlink" Target="https://www.aliexpress.com/item/3286477466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emade.packhelp.com/product/pre-printed-eco-mailer-box/" TargetMode="External"/><Relationship Id="rId16" Type="http://schemas.openxmlformats.org/officeDocument/2006/relationships/hyperlink" Target="https://ie.farnell.com/vishay/crcw080522r0fkea/res-22r-1-0-125w-0805-thick-film/dp/1652962?st=22%20ohm%20resistor%20smd" TargetMode="External"/><Relationship Id="rId1" Type="http://schemas.openxmlformats.org/officeDocument/2006/relationships/hyperlink" Target="https://www.digikey.ie/en/products/detail/microchip-technology/ATMEGA32U4-MU/1914603" TargetMode="External"/><Relationship Id="rId6" Type="http://schemas.openxmlformats.org/officeDocument/2006/relationships/hyperlink" Target="https://www.aliexpress.com/item/4000019410050.html" TargetMode="External"/><Relationship Id="rId11" Type="http://schemas.openxmlformats.org/officeDocument/2006/relationships/hyperlink" Target="https://get.xometry.eu/quotes" TargetMode="External"/><Relationship Id="rId5" Type="http://schemas.openxmlformats.org/officeDocument/2006/relationships/hyperlink" Target="https://www.digikey.ie/en/products/detail/stackpole-electronics-inc/RMCF0805JT22R0/1757897" TargetMode="External"/><Relationship Id="rId15" Type="http://schemas.openxmlformats.org/officeDocument/2006/relationships/hyperlink" Target="https://www.aliexpress.com/item/1005004028236758.html" TargetMode="External"/><Relationship Id="rId10" Type="http://schemas.openxmlformats.org/officeDocument/2006/relationships/hyperlink" Target="https://www.digikey.ie/en/products/detail/gct/USB4105-GF-A/11198441" TargetMode="External"/><Relationship Id="rId4" Type="http://schemas.openxmlformats.org/officeDocument/2006/relationships/hyperlink" Target="https://www.digikey.ie/en/products/detail/abracon-llc/ABM8G-16-000MHZ-18-D2Y-T/2218013" TargetMode="External"/><Relationship Id="rId9" Type="http://schemas.openxmlformats.org/officeDocument/2006/relationships/hyperlink" Target="https://www.digikey.ie/en/products/detail/yageo/CC0805KKX7R7BB105/2103103" TargetMode="External"/><Relationship Id="rId14" Type="http://schemas.openxmlformats.org/officeDocument/2006/relationships/hyperlink" Target="https://www.digikey.ie/en/products/detail/micro-commercial-co/1N4148WX-TP/7171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175" zoomScaleNormal="175" workbookViewId="0">
      <selection activeCell="B4" sqref="B4"/>
    </sheetView>
  </sheetViews>
  <sheetFormatPr defaultRowHeight="15" x14ac:dyDescent="0.25"/>
  <cols>
    <col min="1" max="1" width="23.140625" bestFit="1" customWidth="1"/>
    <col min="2" max="2" width="45" customWidth="1"/>
    <col min="3" max="3" width="14.7109375" bestFit="1" customWidth="1"/>
    <col min="4" max="4" width="12.140625" bestFit="1" customWidth="1"/>
    <col min="5" max="5" width="19.140625" bestFit="1" customWidth="1"/>
    <col min="6" max="6" width="18.5703125" bestFit="1" customWidth="1"/>
    <col min="7" max="7" width="11.5703125" bestFit="1" customWidth="1"/>
    <col min="8" max="8" width="17.7109375" customWidth="1"/>
    <col min="9" max="9" width="4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  <c r="G1" t="s">
        <v>37</v>
      </c>
      <c r="H1" t="s">
        <v>4</v>
      </c>
      <c r="I1" t="s">
        <v>11</v>
      </c>
    </row>
    <row r="2" spans="1:9" x14ac:dyDescent="0.25">
      <c r="A2" t="s">
        <v>66</v>
      </c>
      <c r="C2">
        <v>10</v>
      </c>
      <c r="D2" s="3">
        <v>450</v>
      </c>
      <c r="E2">
        <v>1</v>
      </c>
      <c r="F2" s="3">
        <f>(Product[[#This Row],[Bulk Price]] * Product[[#This Row],[Amount Required]])/Product[[#This Row],[Bulk Amount]]</f>
        <v>45</v>
      </c>
      <c r="G2">
        <v>0</v>
      </c>
      <c r="H2" s="10"/>
      <c r="I2" t="s">
        <v>31</v>
      </c>
    </row>
    <row r="3" spans="1:9" x14ac:dyDescent="0.25">
      <c r="A3" t="s">
        <v>8</v>
      </c>
      <c r="C3">
        <v>10</v>
      </c>
      <c r="D3" s="3">
        <v>156.54</v>
      </c>
      <c r="E3">
        <v>1</v>
      </c>
      <c r="F3" s="3">
        <f>(Product[[#This Row],[Bulk Price]] * Product[[#This Row],[Amount Required]])/Product[[#This Row],[Bulk Amount]]</f>
        <v>15.654</v>
      </c>
      <c r="G3">
        <v>0</v>
      </c>
      <c r="H3" s="10" t="s">
        <v>73</v>
      </c>
      <c r="I3" t="s">
        <v>31</v>
      </c>
    </row>
    <row r="4" spans="1:9" x14ac:dyDescent="0.25">
      <c r="A4" t="s">
        <v>18</v>
      </c>
      <c r="B4" t="s">
        <v>49</v>
      </c>
      <c r="C4">
        <v>1000</v>
      </c>
      <c r="D4" s="3">
        <v>75.91</v>
      </c>
      <c r="E4">
        <v>61</v>
      </c>
      <c r="F4" s="3">
        <f>(Product[[#This Row],[Bulk Price]] * Product[[#This Row],[Amount Required]])/Product[[#This Row],[Bulk Amount]]</f>
        <v>4.6305100000000001</v>
      </c>
      <c r="G4">
        <v>0</v>
      </c>
      <c r="H4" s="10" t="s">
        <v>19</v>
      </c>
    </row>
    <row r="5" spans="1:9" x14ac:dyDescent="0.25">
      <c r="A5" t="s">
        <v>70</v>
      </c>
      <c r="B5" t="s">
        <v>71</v>
      </c>
      <c r="C5">
        <v>700</v>
      </c>
      <c r="D5" s="3">
        <v>40.61</v>
      </c>
      <c r="E5">
        <v>61</v>
      </c>
      <c r="F5" s="3">
        <f>(Product[[#This Row],[Bulk Price]] * Product[[#This Row],[Amount Required]])/Product[[#This Row],[Bulk Amount]]</f>
        <v>3.5388714285714284</v>
      </c>
      <c r="G5">
        <v>0</v>
      </c>
      <c r="H5" s="10" t="s">
        <v>69</v>
      </c>
    </row>
    <row r="6" spans="1:9" x14ac:dyDescent="0.25">
      <c r="A6" t="s">
        <v>63</v>
      </c>
      <c r="C6">
        <v>720</v>
      </c>
      <c r="D6" s="12">
        <v>13.65</v>
      </c>
      <c r="E6">
        <v>61</v>
      </c>
      <c r="F6" s="3">
        <f>(Product[[#This Row],[Bulk Price]] * Product[[#This Row],[Amount Required]])/Product[[#This Row],[Bulk Amount]]</f>
        <v>1.1564583333333334</v>
      </c>
      <c r="G6">
        <v>0</v>
      </c>
      <c r="H6" s="10" t="s">
        <v>72</v>
      </c>
      <c r="I6" t="s">
        <v>31</v>
      </c>
    </row>
    <row r="7" spans="1:9" x14ac:dyDescent="0.25">
      <c r="A7" t="s">
        <v>67</v>
      </c>
      <c r="C7">
        <v>800</v>
      </c>
      <c r="D7" s="12">
        <v>14.94</v>
      </c>
      <c r="E7">
        <v>61</v>
      </c>
      <c r="F7" s="3">
        <f>(Product[[#This Row],[Bulk Price]] * Product[[#This Row],[Amount Required]])/Product[[#This Row],[Bulk Amount]]</f>
        <v>1.1391749999999998</v>
      </c>
      <c r="G7">
        <v>0</v>
      </c>
      <c r="H7" s="10" t="s">
        <v>68</v>
      </c>
      <c r="I7" t="s">
        <v>74</v>
      </c>
    </row>
    <row r="8" spans="1:9" x14ac:dyDescent="0.25">
      <c r="A8" t="s">
        <v>75</v>
      </c>
      <c r="B8" s="13" t="s">
        <v>79</v>
      </c>
      <c r="C8">
        <v>610</v>
      </c>
      <c r="D8" s="3">
        <v>18.350000000000001</v>
      </c>
      <c r="E8">
        <v>61</v>
      </c>
      <c r="F8" s="3">
        <f>(Product[[#This Row],[Bulk Price]] * Product[[#This Row],[Amount Required]])/Product[[#This Row],[Bulk Amount]]</f>
        <v>1.8350000000000002</v>
      </c>
      <c r="G8">
        <v>1</v>
      </c>
      <c r="H8" s="10" t="s">
        <v>76</v>
      </c>
      <c r="I8" t="s">
        <v>77</v>
      </c>
    </row>
    <row r="9" spans="1:9" x14ac:dyDescent="0.25">
      <c r="A9" t="s">
        <v>5</v>
      </c>
      <c r="B9" t="s">
        <v>80</v>
      </c>
      <c r="C9">
        <v>10</v>
      </c>
      <c r="D9" s="3">
        <v>54.6</v>
      </c>
      <c r="E9">
        <v>1</v>
      </c>
      <c r="F9" s="3">
        <f>(Product[[#This Row],[Bulk Price]] * Product[[#This Row],[Amount Required]])/Product[[#This Row],[Bulk Amount]]</f>
        <v>5.46</v>
      </c>
      <c r="G9">
        <v>1</v>
      </c>
      <c r="H9" s="10" t="s">
        <v>6</v>
      </c>
    </row>
    <row r="10" spans="1:9" x14ac:dyDescent="0.25">
      <c r="A10" t="s">
        <v>9</v>
      </c>
      <c r="B10" t="s">
        <v>33</v>
      </c>
      <c r="C10">
        <v>10</v>
      </c>
      <c r="D10" s="3">
        <v>6.64</v>
      </c>
      <c r="E10">
        <v>1</v>
      </c>
      <c r="F10" s="3">
        <f>(Product[[#This Row],[Bulk Price]] * Product[[#This Row],[Amount Required]])/Product[[#This Row],[Bulk Amount]]</f>
        <v>0.66399999999999992</v>
      </c>
      <c r="G10">
        <v>1</v>
      </c>
      <c r="H10" s="10" t="s">
        <v>32</v>
      </c>
    </row>
    <row r="11" spans="1:9" x14ac:dyDescent="0.25">
      <c r="A11" t="s">
        <v>20</v>
      </c>
      <c r="B11" t="s">
        <v>17</v>
      </c>
      <c r="C11">
        <v>10</v>
      </c>
      <c r="D11" s="3">
        <v>3.67</v>
      </c>
      <c r="E11">
        <v>1</v>
      </c>
      <c r="F11" s="3">
        <f>(Product[[#This Row],[Bulk Price]] * Product[[#This Row],[Amount Required]])/Product[[#This Row],[Bulk Amount]]</f>
        <v>0.36699999999999999</v>
      </c>
      <c r="G11">
        <v>1</v>
      </c>
      <c r="H11" s="10" t="s">
        <v>16</v>
      </c>
    </row>
    <row r="12" spans="1:9" x14ac:dyDescent="0.25">
      <c r="A12" t="s">
        <v>24</v>
      </c>
      <c r="B12" t="s">
        <v>26</v>
      </c>
      <c r="C12">
        <v>20</v>
      </c>
      <c r="D12" s="3">
        <v>1.34</v>
      </c>
      <c r="E12">
        <v>2</v>
      </c>
      <c r="F12" s="3">
        <f>(Product[[#This Row],[Bulk Price]] * Product[[#This Row],[Amount Required]])/Product[[#This Row],[Bulk Amount]]</f>
        <v>0.13400000000000001</v>
      </c>
      <c r="G12">
        <v>1</v>
      </c>
      <c r="H12" s="10" t="s">
        <v>28</v>
      </c>
    </row>
    <row r="13" spans="1:9" x14ac:dyDescent="0.25">
      <c r="A13" t="s">
        <v>25</v>
      </c>
      <c r="B13" t="s">
        <v>27</v>
      </c>
      <c r="C13">
        <v>10</v>
      </c>
      <c r="D13" s="3">
        <v>0.99</v>
      </c>
      <c r="E13">
        <v>1</v>
      </c>
      <c r="F13" s="3">
        <f>(Product[[#This Row],[Bulk Price]] * Product[[#This Row],[Amount Required]])/Product[[#This Row],[Bulk Amount]]</f>
        <v>9.9000000000000005E-2</v>
      </c>
      <c r="G13">
        <v>1</v>
      </c>
      <c r="H13" s="10" t="s">
        <v>29</v>
      </c>
    </row>
    <row r="14" spans="1:9" x14ac:dyDescent="0.25">
      <c r="A14" t="s">
        <v>10</v>
      </c>
      <c r="B14" s="13" t="s">
        <v>81</v>
      </c>
      <c r="C14">
        <v>20</v>
      </c>
      <c r="D14" s="3">
        <v>0.34</v>
      </c>
      <c r="E14">
        <v>2</v>
      </c>
      <c r="F14" s="3">
        <f>(Product[[#This Row],[Bulk Price]] * Product[[#This Row],[Amount Required]])/Product[[#This Row],[Bulk Amount]]</f>
        <v>3.4000000000000002E-2</v>
      </c>
      <c r="G14">
        <v>1</v>
      </c>
      <c r="H14" s="10" t="s">
        <v>23</v>
      </c>
      <c r="I14" s="1" t="s">
        <v>78</v>
      </c>
    </row>
    <row r="15" spans="1:9" x14ac:dyDescent="0.25">
      <c r="A15" t="s">
        <v>12</v>
      </c>
      <c r="C15">
        <v>10</v>
      </c>
      <c r="D15" s="3">
        <v>25.91</v>
      </c>
      <c r="E15">
        <v>1</v>
      </c>
      <c r="F15" s="3">
        <f>(Product[[#This Row],[Bulk Price]] * Product[[#This Row],[Amount Required]])/Product[[#This Row],[Bulk Amount]]</f>
        <v>2.5910000000000002</v>
      </c>
      <c r="G15">
        <v>2</v>
      </c>
      <c r="H15" s="10" t="s">
        <v>15</v>
      </c>
    </row>
    <row r="16" spans="1:9" x14ac:dyDescent="0.25">
      <c r="A16" t="s">
        <v>13</v>
      </c>
      <c r="C16">
        <v>30</v>
      </c>
      <c r="D16" s="3">
        <v>35.42</v>
      </c>
      <c r="E16">
        <v>1</v>
      </c>
      <c r="F16" s="3">
        <f>(Product[[#This Row],[Bulk Price]] * Product[[#This Row],[Amount Required]])/Product[[#This Row],[Bulk Amount]]</f>
        <v>1.1806666666666668</v>
      </c>
      <c r="G16">
        <v>3</v>
      </c>
      <c r="H16" s="10" t="s">
        <v>14</v>
      </c>
    </row>
    <row r="17" spans="1:8" x14ac:dyDescent="0.25">
      <c r="A17" t="s">
        <v>30</v>
      </c>
      <c r="C17">
        <v>10</v>
      </c>
      <c r="D17" s="3">
        <v>67.896000000000001</v>
      </c>
      <c r="E17">
        <v>1</v>
      </c>
      <c r="F17" s="3">
        <f>(Product[[#This Row],[Bulk Price]] * Product[[#This Row],[Amount Required]])/Product[[#This Row],[Bulk Amount]]</f>
        <v>6.7896000000000001</v>
      </c>
      <c r="G17">
        <v>4</v>
      </c>
      <c r="H17" s="10" t="s">
        <v>51</v>
      </c>
    </row>
    <row r="18" spans="1:8" x14ac:dyDescent="0.25">
      <c r="A18" t="s">
        <v>34</v>
      </c>
      <c r="C18">
        <v>10</v>
      </c>
      <c r="D18" s="3">
        <v>40.56</v>
      </c>
      <c r="E18">
        <v>1</v>
      </c>
      <c r="F18" s="3">
        <f>(Product[[#This Row],[Bulk Price]] * Product[[#This Row],[Amount Required]])/Product[[#This Row],[Bulk Amount]]</f>
        <v>4.056</v>
      </c>
      <c r="G18">
        <v>5</v>
      </c>
      <c r="H18" s="10" t="s">
        <v>64</v>
      </c>
    </row>
    <row r="19" spans="1:8" x14ac:dyDescent="0.25">
      <c r="A19" t="s">
        <v>21</v>
      </c>
      <c r="C19">
        <v>660</v>
      </c>
      <c r="D19" s="3">
        <v>114.11</v>
      </c>
      <c r="E19">
        <v>61</v>
      </c>
      <c r="F19" s="3">
        <f>(Product[[#This Row],[Bulk Price]] * Product[[#This Row],[Amount Required]])/Product[[#This Row],[Bulk Amount]]</f>
        <v>10.546530303030304</v>
      </c>
      <c r="G19">
        <v>6</v>
      </c>
      <c r="H19" s="10" t="s">
        <v>22</v>
      </c>
    </row>
    <row r="20" spans="1:8" x14ac:dyDescent="0.25">
      <c r="A20" t="s">
        <v>7</v>
      </c>
      <c r="D20" s="11">
        <f>SUBTOTAL(109,Product[Bulk Price])</f>
        <v>1121.4759999999999</v>
      </c>
      <c r="F20" s="11">
        <f>SUBTOTAL(109,Product[Price Per Product])</f>
        <v>104.87581173160171</v>
      </c>
    </row>
    <row r="57" spans="7:7" x14ac:dyDescent="0.25">
      <c r="G57" s="1"/>
    </row>
  </sheetData>
  <phoneticPr fontId="1" type="noConversion"/>
  <conditionalFormatting sqref="F2:F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{44E94B3B-2CEB-48DD-8DB8-BCB5AF22E499}</x14:id>
        </ext>
      </extLst>
    </cfRule>
  </conditionalFormatting>
  <hyperlinks>
    <hyperlink ref="H9" r:id="rId1" xr:uid="{87CADB05-70DA-4477-979A-5E1D6F664E29}"/>
    <hyperlink ref="H16" r:id="rId2" xr:uid="{36975494-8557-4D32-AD82-8E0F81F270C6}"/>
    <hyperlink ref="H15" r:id="rId3" xr:uid="{72D62951-C1A1-4B07-A242-B0E2D08EF3D6}"/>
    <hyperlink ref="H11" r:id="rId4" xr:uid="{2FADE902-C41E-4F62-814B-4CBC27CB74BF}"/>
    <hyperlink ref="H14" r:id="rId5" xr:uid="{EBF092F7-4654-4215-BB30-5ACA4BF98616}"/>
    <hyperlink ref="H4" r:id="rId6" xr:uid="{824C53BE-A827-4F48-A2E2-FAEA1D9288BF}"/>
    <hyperlink ref="H19" r:id="rId7" xr:uid="{217CF86B-66F4-4978-B9C5-15E745E2F383}"/>
    <hyperlink ref="H12" r:id="rId8" xr:uid="{DAC57D90-EE96-4138-A68F-87F2DB50DF21}"/>
    <hyperlink ref="H13" r:id="rId9" xr:uid="{3A41249C-F5A4-4F54-85B0-1408C3755E91}"/>
    <hyperlink ref="H10" r:id="rId10" xr:uid="{9E83D466-86BD-44A5-A4F1-D66641DB8063}"/>
    <hyperlink ref="H17" r:id="rId11" xr:uid="{819B46EC-457A-4B90-B3C3-1A506CB1FB98}"/>
    <hyperlink ref="H18" r:id="rId12" xr:uid="{E1EBD639-6BAB-4865-A74C-67C8BC2F4A79}"/>
    <hyperlink ref="H7" r:id="rId13" xr:uid="{B180FCBC-5576-4C9F-87B1-E907760A55A9}"/>
    <hyperlink ref="H8" r:id="rId14" xr:uid="{469ADBA8-EC6F-4B01-BCD7-0DF72A8EF968}"/>
    <hyperlink ref="H3" r:id="rId15" xr:uid="{09C88473-6D7F-42C4-B713-EA4C6B67C656}"/>
    <hyperlink ref="I14" r:id="rId16" xr:uid="{5503E497-DFDD-4930-8062-2DC46FFB21BC}"/>
  </hyperlinks>
  <pageMargins left="0.7" right="0.7" top="0.75" bottom="0.75" header="0.3" footer="0.3"/>
  <pageSetup paperSize="9" orientation="portrait"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94B3B-2CEB-48DD-8DB8-BCB5AF22E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E6D-4D6E-4392-B6FD-F79E78323971}">
  <dimension ref="A1:G8"/>
  <sheetViews>
    <sheetView zoomScaleNormal="100" workbookViewId="0">
      <selection activeCell="F2" sqref="F2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5.42578125" bestFit="1" customWidth="1"/>
    <col min="4" max="4" width="20.5703125" bestFit="1" customWidth="1"/>
    <col min="5" max="5" width="13" bestFit="1" customWidth="1"/>
    <col min="6" max="6" width="17.5703125" bestFit="1" customWidth="1"/>
    <col min="7" max="7" width="20.28515625" bestFit="1" customWidth="1"/>
  </cols>
  <sheetData>
    <row r="1" spans="1:7" x14ac:dyDescent="0.25">
      <c r="A1" t="s">
        <v>37</v>
      </c>
      <c r="B1" t="s">
        <v>38</v>
      </c>
      <c r="C1" t="s">
        <v>48</v>
      </c>
      <c r="D1" t="s">
        <v>39</v>
      </c>
      <c r="E1" t="s">
        <v>40</v>
      </c>
      <c r="F1" t="s">
        <v>47</v>
      </c>
      <c r="G1" t="s">
        <v>41</v>
      </c>
    </row>
    <row r="2" spans="1:7" x14ac:dyDescent="0.25">
      <c r="A2">
        <v>1</v>
      </c>
      <c r="B2" t="s">
        <v>42</v>
      </c>
      <c r="C2" s="3">
        <v>18</v>
      </c>
      <c r="D2" s="4">
        <v>50</v>
      </c>
      <c r="E2" s="2">
        <v>1</v>
      </c>
      <c r="F2" s="3">
        <f>SUMIF(Product[Shipper '#],  Shipping[[#This Row],[Shipper '#]], Product[Bulk Price])</f>
        <v>85.93</v>
      </c>
      <c r="G2" s="3">
        <f>IF(Shipping[[#This Row],[Discount Threshold]] &lt;= Shipping[[#This Row],[Total Items Cost]], Shipping[[#This Row],[Shipping Cost]] *(100% - Shipping[[#This Row],[Discount %]]), Shipping[[#This Row],[Shipping Cost]])</f>
        <v>0</v>
      </c>
    </row>
    <row r="3" spans="1:7" x14ac:dyDescent="0.25">
      <c r="A3">
        <v>2</v>
      </c>
      <c r="B3" t="s">
        <v>43</v>
      </c>
      <c r="C3" s="3">
        <v>21</v>
      </c>
      <c r="D3" s="4">
        <v>0</v>
      </c>
      <c r="E3" s="2">
        <v>0</v>
      </c>
      <c r="F3" s="3">
        <f>SUMIF(Product[Shipper '#],  Shipping[[#This Row],[Shipper '#]], Product[Bulk Price])</f>
        <v>25.91</v>
      </c>
      <c r="G3" s="3">
        <f>IF(Shipping[[#This Row],[Discount Threshold]] &lt;= Shipping[[#This Row],[Total Items Cost]], Shipping[[#This Row],[Shipping Cost]] *(100% - Shipping[[#This Row],[Discount %]]), Shipping[[#This Row],[Shipping Cost]])</f>
        <v>21</v>
      </c>
    </row>
    <row r="4" spans="1:7" x14ac:dyDescent="0.25">
      <c r="A4">
        <v>3</v>
      </c>
      <c r="B4" t="s">
        <v>46</v>
      </c>
      <c r="C4" s="3">
        <v>6.15</v>
      </c>
      <c r="D4" s="4">
        <v>0</v>
      </c>
      <c r="E4" s="2">
        <v>0</v>
      </c>
      <c r="F4" s="3">
        <f>SUMIF(Product[Shipper '#],  Shipping[[#This Row],[Shipper '#]], Product[Bulk Price])</f>
        <v>35.42</v>
      </c>
      <c r="G4" s="3">
        <f>IF(Shipping[[#This Row],[Discount Threshold]] &lt;= Shipping[[#This Row],[Total Items Cost]], Shipping[[#This Row],[Shipping Cost]] *(100% - Shipping[[#This Row],[Discount %]]), Shipping[[#This Row],[Shipping Cost]])</f>
        <v>6.15</v>
      </c>
    </row>
    <row r="5" spans="1:7" x14ac:dyDescent="0.25">
      <c r="A5">
        <v>4</v>
      </c>
      <c r="B5" t="s">
        <v>50</v>
      </c>
      <c r="C5" s="3">
        <v>23</v>
      </c>
      <c r="D5" s="3">
        <v>0</v>
      </c>
      <c r="E5" s="2">
        <v>0</v>
      </c>
      <c r="F5" s="3">
        <f>SUMIF(Product[Shipper '#],  Shipping[[#This Row],[Shipper '#]], Product[Bulk Price])</f>
        <v>67.896000000000001</v>
      </c>
      <c r="G5" s="3">
        <f>IF(Shipping[[#This Row],[Discount Threshold]] &lt;= Shipping[[#This Row],[Total Items Cost]], Shipping[[#This Row],[Shipping Cost]] *(100% - Shipping[[#This Row],[Discount %]]), Shipping[[#This Row],[Shipping Cost]])</f>
        <v>23</v>
      </c>
    </row>
    <row r="6" spans="1:7" x14ac:dyDescent="0.25">
      <c r="A6">
        <v>5</v>
      </c>
      <c r="B6" t="s">
        <v>65</v>
      </c>
      <c r="C6" s="3">
        <v>5.97</v>
      </c>
      <c r="D6" s="3">
        <v>0</v>
      </c>
      <c r="E6" s="2">
        <v>0</v>
      </c>
      <c r="F6" s="3">
        <f>SUMIF(Product[Shipper '#],  Shipping[[#This Row],[Shipper '#]], Product[Bulk Price])</f>
        <v>40.56</v>
      </c>
      <c r="G6" s="3">
        <f>IF(Shipping[[#This Row],[Discount Threshold]] &lt;= Shipping[[#This Row],[Total Items Cost]], Shipping[[#This Row],[Shipping Cost]] *(100% - Shipping[[#This Row],[Discount %]]), Shipping[[#This Row],[Shipping Cost]])</f>
        <v>5.97</v>
      </c>
    </row>
    <row r="7" spans="1:7" x14ac:dyDescent="0.25">
      <c r="A7">
        <v>6</v>
      </c>
      <c r="B7" t="s">
        <v>65</v>
      </c>
      <c r="C7" s="3">
        <v>6.92</v>
      </c>
      <c r="D7" s="3">
        <v>0</v>
      </c>
      <c r="E7" s="2">
        <v>0</v>
      </c>
      <c r="F7" s="3">
        <f>SUMIF(Product[Shipper '#],  Shipping[[#This Row],[Shipper '#]], Product[Bulk Price])</f>
        <v>114.11</v>
      </c>
      <c r="G7" s="3">
        <f>IF(Shipping[[#This Row],[Discount Threshold]] &lt;= Shipping[[#This Row],[Total Items Cost]], Shipping[[#This Row],[Shipping Cost]] *(100% - Shipping[[#This Row],[Discount %]]), Shipping[[#This Row],[Shipping Cost]])</f>
        <v>6.92</v>
      </c>
    </row>
    <row r="8" spans="1:7" x14ac:dyDescent="0.25">
      <c r="A8" t="s">
        <v>7</v>
      </c>
      <c r="C8" s="11"/>
      <c r="F8" s="11"/>
      <c r="G8" s="11">
        <f>SUBTOTAL(109,Shipping[Final Shipping Cost])</f>
        <v>63.04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58C6-4B4F-4732-A498-2B4FA191E29E}">
  <dimension ref="A1:C9"/>
  <sheetViews>
    <sheetView zoomScaleNormal="100" workbookViewId="0">
      <selection activeCell="I18" sqref="I18"/>
    </sheetView>
  </sheetViews>
  <sheetFormatPr defaultRowHeight="15" x14ac:dyDescent="0.25"/>
  <cols>
    <col min="1" max="1" width="24.140625" bestFit="1" customWidth="1"/>
    <col min="2" max="2" width="8.42578125" bestFit="1" customWidth="1"/>
    <col min="3" max="3" width="10.140625" customWidth="1"/>
  </cols>
  <sheetData>
    <row r="1" spans="1:3" x14ac:dyDescent="0.25">
      <c r="A1" t="s">
        <v>57</v>
      </c>
      <c r="B1" t="s">
        <v>52</v>
      </c>
      <c r="C1" t="s">
        <v>58</v>
      </c>
    </row>
    <row r="2" spans="1:3" x14ac:dyDescent="0.25">
      <c r="A2" t="s">
        <v>36</v>
      </c>
      <c r="C2" s="4">
        <f>Product[[#Totals],[Price Per Product]]</f>
        <v>104.87581173160171</v>
      </c>
    </row>
    <row r="3" spans="1:3" x14ac:dyDescent="0.25">
      <c r="A3" t="s">
        <v>53</v>
      </c>
      <c r="B3">
        <v>10</v>
      </c>
    </row>
    <row r="4" spans="1:3" x14ac:dyDescent="0.25">
      <c r="A4" t="s">
        <v>41</v>
      </c>
      <c r="B4" s="4">
        <f>Shipping[[#Totals],[Final Shipping Cost]]</f>
        <v>63.04</v>
      </c>
    </row>
    <row r="5" spans="1:3" ht="15.75" thickBot="1" x14ac:dyDescent="0.3">
      <c r="A5" t="s">
        <v>54</v>
      </c>
      <c r="C5" s="6">
        <f>B4/B3</f>
        <v>6.3040000000000003</v>
      </c>
    </row>
    <row r="6" spans="1:3" x14ac:dyDescent="0.25">
      <c r="A6" t="s">
        <v>55</v>
      </c>
      <c r="C6" s="4">
        <f>C5+C2</f>
        <v>111.17981173160172</v>
      </c>
    </row>
    <row r="7" spans="1:3" ht="15.75" thickBot="1" x14ac:dyDescent="0.3">
      <c r="A7" t="s">
        <v>59</v>
      </c>
      <c r="B7" s="7">
        <v>0.5</v>
      </c>
    </row>
    <row r="8" spans="1:3" ht="15.75" thickBot="1" x14ac:dyDescent="0.3">
      <c r="A8" t="s">
        <v>56</v>
      </c>
      <c r="C8" s="8">
        <f>C6*(1+B7)</f>
        <v>166.76971759740258</v>
      </c>
    </row>
    <row r="9" spans="1: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B611-8F8B-4554-B957-01DA67DD5EA3}">
  <dimension ref="A1:B5"/>
  <sheetViews>
    <sheetView zoomScaleNormal="100" workbookViewId="0">
      <selection activeCell="E10" sqref="E10"/>
    </sheetView>
  </sheetViews>
  <sheetFormatPr defaultRowHeight="15" x14ac:dyDescent="0.25"/>
  <cols>
    <col min="1" max="1" width="16.42578125" bestFit="1" customWidth="1"/>
    <col min="2" max="2" width="10.42578125" customWidth="1"/>
  </cols>
  <sheetData>
    <row r="1" spans="1:2" x14ac:dyDescent="0.25">
      <c r="A1" t="s">
        <v>57</v>
      </c>
      <c r="B1" t="s">
        <v>52</v>
      </c>
    </row>
    <row r="2" spans="1:2" x14ac:dyDescent="0.25">
      <c r="A2" t="s">
        <v>60</v>
      </c>
      <c r="B2" s="4">
        <f>Pricing!C8*Pricing!B3</f>
        <v>1667.6971759740259</v>
      </c>
    </row>
    <row r="3" spans="1:2" ht="15.75" thickBot="1" x14ac:dyDescent="0.3">
      <c r="A3" t="s">
        <v>61</v>
      </c>
      <c r="B3" s="6">
        <f>-Totals[[#Totals],[€]]</f>
        <v>-1184.5159999999998</v>
      </c>
    </row>
    <row r="4" spans="1:2" ht="15.75" thickBot="1" x14ac:dyDescent="0.3">
      <c r="A4" t="s">
        <v>62</v>
      </c>
      <c r="B4" s="9">
        <f>B2+B3</f>
        <v>483.18117597402602</v>
      </c>
    </row>
    <row r="5" spans="1: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730-11D7-44E5-AFC9-9C90B6122C0F}">
  <dimension ref="A1:B6"/>
  <sheetViews>
    <sheetView zoomScale="175" zoomScaleNormal="175" workbookViewId="0">
      <selection activeCell="D11" sqref="D11"/>
    </sheetView>
  </sheetViews>
  <sheetFormatPr defaultRowHeight="15" x14ac:dyDescent="0.25"/>
  <cols>
    <col min="1" max="1" width="15.42578125" bestFit="1" customWidth="1"/>
    <col min="2" max="2" width="11" customWidth="1"/>
  </cols>
  <sheetData>
    <row r="1" spans="1:2" x14ac:dyDescent="0.25">
      <c r="A1" t="s">
        <v>57</v>
      </c>
      <c r="B1" t="s">
        <v>52</v>
      </c>
    </row>
    <row r="2" spans="1:2" x14ac:dyDescent="0.25">
      <c r="A2" t="s">
        <v>44</v>
      </c>
      <c r="B2" s="5">
        <f>Product[[#Totals],[Bulk Price]]</f>
        <v>1121.4759999999999</v>
      </c>
    </row>
    <row r="3" spans="1:2" x14ac:dyDescent="0.25">
      <c r="A3" t="s">
        <v>45</v>
      </c>
      <c r="B3" s="5">
        <f>Shipping[[#Totals],[Final Shipping Cost]]</f>
        <v>63.04</v>
      </c>
    </row>
    <row r="4" spans="1:2" x14ac:dyDescent="0.25">
      <c r="B4" s="5"/>
    </row>
    <row r="5" spans="1:2" x14ac:dyDescent="0.25">
      <c r="B5" s="5"/>
    </row>
    <row r="6" spans="1:2" x14ac:dyDescent="0.25">
      <c r="A6" t="s">
        <v>7</v>
      </c>
      <c r="B6" s="5">
        <f>SUBTOTAL(109,Totals[€])</f>
        <v>1184.5159999999998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List</vt:lpstr>
      <vt:lpstr>Shipping</vt:lpstr>
      <vt:lpstr>Pricing</vt:lpstr>
      <vt:lpstr>Profit and Loss</vt:lpstr>
      <vt:lpstr>Startup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Ringhoffer</dc:creator>
  <cp:lastModifiedBy>Alex Ringhoffer</cp:lastModifiedBy>
  <dcterms:created xsi:type="dcterms:W3CDTF">2015-06-05T18:17:20Z</dcterms:created>
  <dcterms:modified xsi:type="dcterms:W3CDTF">2023-03-19T01:18:19Z</dcterms:modified>
</cp:coreProperties>
</file>