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\OneDrive\Рабочий стол\ITMO work\3 сем\Физика\"/>
    </mc:Choice>
  </mc:AlternateContent>
  <xr:revisionPtr revIDLastSave="0" documentId="8_{C8D01208-75C1-45AD-8CB5-01B146F1C736}" xr6:coauthVersionLast="47" xr6:coauthVersionMax="47" xr10:uidLastSave="{00000000-0000-0000-0000-000000000000}"/>
  <bookViews>
    <workbookView xWindow="-108" yWindow="-108" windowWidth="23256" windowHeight="12456" xr2:uid="{8338EDC4-1880-4CD9-AC58-D7D7579FD32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O28" i="1"/>
  <c r="Q17" i="1"/>
  <c r="Q3" i="1"/>
  <c r="Q5" i="1"/>
  <c r="Q7" i="1"/>
  <c r="Q9" i="1"/>
  <c r="Q11" i="1"/>
  <c r="Q15" i="1"/>
  <c r="Q19" i="1"/>
  <c r="Q21" i="1"/>
  <c r="Q13" i="1"/>
  <c r="L2" i="1"/>
  <c r="P30" i="1"/>
  <c r="Q30" i="1" s="1"/>
  <c r="P29" i="1"/>
  <c r="Q29" i="1" s="1"/>
  <c r="P28" i="1"/>
  <c r="Q28" i="1" s="1"/>
  <c r="F6" i="1"/>
  <c r="I2" i="1"/>
  <c r="C101" i="1"/>
  <c r="D101" i="1" s="1"/>
  <c r="C100" i="1"/>
  <c r="D100" i="1" s="1"/>
  <c r="D99" i="1"/>
  <c r="C99" i="1"/>
  <c r="C98" i="1"/>
  <c r="D98" i="1" s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N3" i="1"/>
  <c r="O3" i="1" s="1"/>
  <c r="N21" i="1"/>
  <c r="N19" i="1"/>
  <c r="N17" i="1"/>
  <c r="N15" i="1"/>
  <c r="N13" i="1"/>
  <c r="N11" i="1"/>
  <c r="N9" i="1"/>
  <c r="N7" i="1"/>
  <c r="N5" i="1"/>
  <c r="M8" i="1"/>
  <c r="M9" i="1" s="1"/>
  <c r="M10" i="1" s="1"/>
  <c r="M11" i="1" s="1"/>
  <c r="M12" i="1" s="1"/>
  <c r="M6" i="1"/>
  <c r="P5" i="1" s="1"/>
  <c r="M4" i="1"/>
  <c r="P3" i="1" s="1"/>
  <c r="C3" i="1"/>
  <c r="D3" i="1" s="1"/>
  <c r="C4" i="1"/>
  <c r="D4" i="1" s="1"/>
  <c r="C5" i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D2" i="1" s="1"/>
  <c r="H2" i="1"/>
  <c r="G2" i="1"/>
  <c r="O5" i="1" l="1"/>
  <c r="O7" i="1"/>
  <c r="P7" i="1"/>
  <c r="P11" i="1"/>
  <c r="M13" i="1"/>
  <c r="M14" i="1" s="1"/>
  <c r="O9" i="1"/>
  <c r="J2" i="1"/>
  <c r="F2" i="1" s="1"/>
  <c r="O11" i="1"/>
  <c r="P9" i="1"/>
  <c r="P13" i="1" l="1"/>
  <c r="M15" i="1"/>
  <c r="M16" i="1" s="1"/>
  <c r="O15" i="1" s="1"/>
  <c r="O13" i="1"/>
  <c r="N29" i="1"/>
  <c r="O30" i="1"/>
  <c r="O29" i="1"/>
  <c r="N28" i="1"/>
  <c r="N30" i="1"/>
  <c r="M17" i="1" l="1"/>
  <c r="M18" i="1" s="1"/>
  <c r="O17" i="1" s="1"/>
  <c r="P15" i="1"/>
  <c r="M19" i="1" l="1"/>
  <c r="M20" i="1" s="1"/>
  <c r="O19" i="1" s="1"/>
  <c r="P17" i="1"/>
  <c r="P19" i="1" l="1"/>
  <c r="M21" i="1"/>
  <c r="O21" i="1" s="1"/>
  <c r="P21" i="1" l="1"/>
</calcChain>
</file>

<file path=xl/sharedStrings.xml><?xml version="1.0" encoding="utf-8"?>
<sst xmlns="http://schemas.openxmlformats.org/spreadsheetml/2006/main" count="27" uniqueCount="27">
  <si>
    <t>№</t>
  </si>
  <si>
    <t>ti, с</t>
  </si>
  <si>
    <t>ti-&lt;tN&gt;, c</t>
  </si>
  <si>
    <t>(ti-&lt;tN&gt;)^2, c^2</t>
  </si>
  <si>
    <t>p_max</t>
  </si>
  <si>
    <t>t_min</t>
  </si>
  <si>
    <t>t_max</t>
  </si>
  <si>
    <t xml:space="preserve">⟨𝑡⟩𝑁 </t>
  </si>
  <si>
    <t>q_N</t>
  </si>
  <si>
    <t xml:space="preserve">∆𝑡 </t>
  </si>
  <si>
    <r>
      <t xml:space="preserve">Таблица 2: </t>
    </r>
    <r>
      <rPr>
        <sz val="10"/>
        <color theme="1"/>
        <rFont val="LatinS"/>
      </rPr>
      <t xml:space="preserve">Данные для построения гистограммы </t>
    </r>
  </si>
  <si>
    <r>
      <t xml:space="preserve">Границы , </t>
    </r>
    <r>
      <rPr>
        <i/>
        <sz val="9"/>
        <color theme="1"/>
        <rFont val="Latin"/>
      </rPr>
      <t xml:space="preserve">c </t>
    </r>
  </si>
  <si>
    <r>
      <t>∆</t>
    </r>
    <r>
      <rPr>
        <sz val="11"/>
        <color theme="1"/>
        <rFont val="CMMI10"/>
      </rPr>
      <t xml:space="preserve">𝑁 </t>
    </r>
  </si>
  <si>
    <r>
      <t>Δ</t>
    </r>
    <r>
      <rPr>
        <sz val="8"/>
        <color theme="1"/>
        <rFont val="CMMI8"/>
      </rPr>
      <t xml:space="preserve">𝑁 </t>
    </r>
    <r>
      <rPr>
        <sz val="11"/>
        <color theme="1"/>
        <rFont val="LatinS"/>
      </rPr>
      <t xml:space="preserve">, </t>
    </r>
    <r>
      <rPr>
        <i/>
        <sz val="11"/>
        <color theme="1"/>
        <rFont val="Latin"/>
      </rPr>
      <t>c</t>
    </r>
    <r>
      <rPr>
        <sz val="8"/>
        <color theme="1"/>
        <rFont val="LatinS"/>
      </rPr>
      <t xml:space="preserve">-1 </t>
    </r>
    <r>
      <rPr>
        <sz val="8"/>
        <color theme="1"/>
        <rFont val="CMMI8"/>
      </rPr>
      <t>𝑁</t>
    </r>
    <r>
      <rPr>
        <sz val="8"/>
        <color theme="1"/>
        <rFont val="CMR8"/>
      </rPr>
      <t>Δ</t>
    </r>
    <r>
      <rPr>
        <sz val="8"/>
        <color theme="1"/>
        <rFont val="CMMI8"/>
      </rPr>
      <t xml:space="preserve">𝑡 </t>
    </r>
  </si>
  <si>
    <r>
      <t>𝑡</t>
    </r>
    <r>
      <rPr>
        <sz val="11"/>
        <color theme="1"/>
        <rFont val="LatinS"/>
      </rPr>
      <t xml:space="preserve">, </t>
    </r>
    <r>
      <rPr>
        <i/>
        <sz val="11"/>
        <color theme="1"/>
        <rFont val="Latin"/>
      </rPr>
      <t xml:space="preserve">c </t>
    </r>
  </si>
  <si>
    <r>
      <t>𝜌</t>
    </r>
    <r>
      <rPr>
        <sz val="11"/>
        <color theme="1"/>
        <rFont val="LatinS"/>
      </rPr>
      <t xml:space="preserve">, </t>
    </r>
    <r>
      <rPr>
        <i/>
        <sz val="11"/>
        <color theme="1"/>
        <rFont val="Latin"/>
      </rPr>
      <t>c</t>
    </r>
    <r>
      <rPr>
        <i/>
        <sz val="8"/>
        <color theme="1"/>
        <rFont val="Latin"/>
      </rPr>
      <t xml:space="preserve">-1 </t>
    </r>
  </si>
  <si>
    <t>RSE</t>
  </si>
  <si>
    <r>
      <t xml:space="preserve">Таблица 3: </t>
    </r>
    <r>
      <rPr>
        <sz val="10"/>
        <color theme="1"/>
        <rFont val="LatinS"/>
      </rPr>
      <t xml:space="preserve">Стандартные доверительные интервалы </t>
    </r>
  </si>
  <si>
    <r>
      <t xml:space="preserve">Интервал, </t>
    </r>
    <r>
      <rPr>
        <i/>
        <sz val="11"/>
        <color theme="1"/>
        <rFont val="Latin"/>
      </rPr>
      <t xml:space="preserve">c </t>
    </r>
  </si>
  <si>
    <t>∆𝑁</t>
  </si>
  <si>
    <r>
      <t>∆</t>
    </r>
    <r>
      <rPr>
        <sz val="11"/>
        <color theme="1"/>
        <rFont val="CMMI10"/>
      </rPr>
      <t xml:space="preserve">𝑁/𝑁 </t>
    </r>
  </si>
  <si>
    <t xml:space="preserve">𝑃 </t>
  </si>
  <si>
    <t xml:space="preserve">от </t>
  </si>
  <si>
    <t xml:space="preserve">до </t>
  </si>
  <si>
    <r>
      <t>⟨</t>
    </r>
    <r>
      <rPr>
        <sz val="11"/>
        <color theme="1"/>
        <rFont val="CMMI10"/>
      </rPr>
      <t>𝑡</t>
    </r>
    <r>
      <rPr>
        <sz val="11"/>
        <color theme="1"/>
        <rFont val="CMSY10"/>
      </rPr>
      <t>⟩</t>
    </r>
    <r>
      <rPr>
        <sz val="8"/>
        <color theme="1"/>
        <rFont val="CMMI8"/>
      </rPr>
      <t xml:space="preserve">𝑁 </t>
    </r>
    <r>
      <rPr>
        <sz val="11"/>
        <color theme="1"/>
        <rFont val="CMSY10"/>
      </rPr>
      <t xml:space="preserve">± </t>
    </r>
    <r>
      <rPr>
        <sz val="11"/>
        <color theme="1"/>
        <rFont val="CMMI10"/>
      </rPr>
      <t>𝜎</t>
    </r>
    <r>
      <rPr>
        <sz val="8"/>
        <color theme="1"/>
        <rFont val="CMMI8"/>
      </rPr>
      <t xml:space="preserve">𝑁 </t>
    </r>
  </si>
  <si>
    <r>
      <t>⟨</t>
    </r>
    <r>
      <rPr>
        <sz val="11"/>
        <color theme="1"/>
        <rFont val="CMMI10"/>
      </rPr>
      <t>𝑡</t>
    </r>
    <r>
      <rPr>
        <sz val="11"/>
        <color theme="1"/>
        <rFont val="CMSY10"/>
      </rPr>
      <t>⟩</t>
    </r>
    <r>
      <rPr>
        <sz val="8"/>
        <color theme="1"/>
        <rFont val="CMMI8"/>
      </rPr>
      <t xml:space="preserve">𝑁 </t>
    </r>
    <r>
      <rPr>
        <sz val="11"/>
        <color theme="1"/>
        <rFont val="CMSY10"/>
      </rPr>
      <t xml:space="preserve">± </t>
    </r>
    <r>
      <rPr>
        <sz val="11"/>
        <color theme="1"/>
        <rFont val="CMR10"/>
      </rPr>
      <t>2</t>
    </r>
    <r>
      <rPr>
        <sz val="11"/>
        <color theme="1"/>
        <rFont val="CMMI10"/>
      </rPr>
      <t>𝜎</t>
    </r>
    <r>
      <rPr>
        <sz val="8"/>
        <color theme="1"/>
        <rFont val="CMMI8"/>
      </rPr>
      <t xml:space="preserve">𝑁 </t>
    </r>
  </si>
  <si>
    <r>
      <t>⟨</t>
    </r>
    <r>
      <rPr>
        <sz val="11"/>
        <color theme="1"/>
        <rFont val="CMMI10"/>
      </rPr>
      <t>𝑡</t>
    </r>
    <r>
      <rPr>
        <sz val="11"/>
        <color theme="1"/>
        <rFont val="CMSY10"/>
      </rPr>
      <t>⟩</t>
    </r>
    <r>
      <rPr>
        <sz val="8"/>
        <color theme="1"/>
        <rFont val="CMMI8"/>
      </rPr>
      <t xml:space="preserve">𝑁 </t>
    </r>
    <r>
      <rPr>
        <sz val="11"/>
        <color theme="1"/>
        <rFont val="CMSY10"/>
      </rPr>
      <t xml:space="preserve">± </t>
    </r>
    <r>
      <rPr>
        <sz val="11"/>
        <color theme="1"/>
        <rFont val="CMR10"/>
      </rPr>
      <t>3</t>
    </r>
    <r>
      <rPr>
        <sz val="11"/>
        <color theme="1"/>
        <rFont val="CMMI10"/>
      </rPr>
      <t>𝜎</t>
    </r>
    <r>
      <rPr>
        <sz val="8"/>
        <color theme="1"/>
        <rFont val="CMMI8"/>
      </rPr>
      <t xml:space="preserve">𝑁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</si>
</sst>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1"/>
      <name val="CMMI10"/>
    </font>
    <font>
      <sz val="8"/>
      <color theme="1"/>
      <name val="CMMI8"/>
    </font>
    <font>
      <sz val="11"/>
      <color theme="1"/>
      <name val="LatinS"/>
    </font>
    <font>
      <i/>
      <sz val="11"/>
      <color theme="1"/>
      <name val="Latin"/>
    </font>
    <font>
      <sz val="11"/>
      <color theme="1"/>
      <name val="CMSY10"/>
    </font>
    <font>
      <sz val="11"/>
      <color theme="1"/>
      <name val="CMR10"/>
    </font>
    <font>
      <sz val="8"/>
      <color theme="1"/>
      <name val="CMR8"/>
    </font>
    <font>
      <i/>
      <sz val="8"/>
      <color theme="1"/>
      <name val="Latin"/>
    </font>
    <font>
      <b/>
      <sz val="10"/>
      <color theme="1"/>
      <name val="Latin"/>
    </font>
    <font>
      <sz val="10"/>
      <color theme="1"/>
      <name val="LatinS"/>
    </font>
    <font>
      <sz val="9"/>
      <color theme="1"/>
      <name val="LatinS"/>
    </font>
    <font>
      <i/>
      <sz val="9"/>
      <color theme="1"/>
      <name val="Latin"/>
    </font>
    <font>
      <sz val="8"/>
      <color theme="1"/>
      <name val="LatinS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0" fontId="2" fillId="0" borderId="9" xfId="1" applyBorder="1"/>
    <xf numFmtId="0" fontId="2" fillId="0" borderId="25" xfId="1" applyBorder="1"/>
    <xf numFmtId="0" fontId="11" fillId="0" borderId="6" xfId="0" applyFont="1" applyBorder="1"/>
    <xf numFmtId="0" fontId="0" fillId="0" borderId="4" xfId="0" applyBorder="1"/>
    <xf numFmtId="0" fontId="0" fillId="0" borderId="8" xfId="0" applyBorder="1"/>
    <xf numFmtId="0" fontId="13" fillId="0" borderId="9" xfId="0" applyFont="1" applyBorder="1"/>
    <xf numFmtId="0" fontId="8" fillId="0" borderId="0" xfId="0" applyFont="1"/>
    <xf numFmtId="0" fontId="9" fillId="0" borderId="0" xfId="0" applyFont="1"/>
    <xf numFmtId="0" fontId="3" fillId="0" borderId="0" xfId="0" applyFont="1"/>
    <xf numFmtId="0" fontId="3" fillId="0" borderId="10" xfId="0" applyFont="1" applyBorder="1"/>
    <xf numFmtId="0" fontId="0" fillId="0" borderId="2" xfId="0" applyBorder="1"/>
    <xf numFmtId="0" fontId="0" fillId="0" borderId="3" xfId="0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0" fillId="0" borderId="7" xfId="0" applyBorder="1"/>
    <xf numFmtId="0" fontId="0" fillId="0" borderId="13" xfId="0" applyBorder="1"/>
    <xf numFmtId="0" fontId="0" fillId="0" borderId="21" xfId="0" applyBorder="1"/>
    <xf numFmtId="0" fontId="0" fillId="0" borderId="22" xfId="0" applyBorder="1"/>
    <xf numFmtId="0" fontId="0" fillId="0" borderId="14" xfId="0" applyBorder="1"/>
    <xf numFmtId="0" fontId="0" fillId="0" borderId="4" xfId="0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7" fillId="0" borderId="15" xfId="0" applyFont="1" applyBorder="1"/>
    <xf numFmtId="2" fontId="0" fillId="0" borderId="16" xfId="0" applyNumberFormat="1" applyBorder="1"/>
    <xf numFmtId="0" fontId="0" fillId="0" borderId="16" xfId="0" applyBorder="1"/>
    <xf numFmtId="0" fontId="8" fillId="0" borderId="10" xfId="0" applyFont="1" applyBorder="1"/>
    <xf numFmtId="0" fontId="7" fillId="0" borderId="7" xfId="0" applyFont="1" applyBorder="1"/>
    <xf numFmtId="2" fontId="0" fillId="0" borderId="5" xfId="0" applyNumberFormat="1" applyBorder="1"/>
    <xf numFmtId="0" fontId="0" fillId="0" borderId="5" xfId="0" applyBorder="1"/>
    <xf numFmtId="0" fontId="8" fillId="0" borderId="23" xfId="0" applyFont="1" applyBorder="1"/>
    <xf numFmtId="164" fontId="0" fillId="0" borderId="0" xfId="0" applyNumberFormat="1"/>
    <xf numFmtId="0" fontId="11" fillId="0" borderId="0" xfId="0" applyFont="1" applyAlignment="1">
      <alignment horizontal="center"/>
    </xf>
    <xf numFmtId="0" fontId="0" fillId="0" borderId="1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0" fontId="0" fillId="0" borderId="24" xfId="0" applyBorder="1" applyAlignment="1">
      <alignment horizontal="center"/>
    </xf>
  </cellXfs>
  <cellStyles count="2">
    <cellStyle name="Обычный" xfId="0" builtinId="0"/>
    <cellStyle name="Обычный 2" xfId="1" xr:uid="{F40EEF56-01A6-4E3C-B1A9-90F205EC7E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1078-02EC-414A-8C73-010E5E4932A3}">
  <dimension ref="A1:R103"/>
  <sheetViews>
    <sheetView tabSelected="1" workbookViewId="0">
      <selection activeCell="K3" sqref="K3"/>
    </sheetView>
  </sheetViews>
  <sheetFormatPr defaultRowHeight="14.4"/>
  <cols>
    <col min="3" max="3" width="9.88671875" customWidth="1"/>
    <col min="4" max="4" width="16.33203125" customWidth="1"/>
    <col min="6" max="6" width="12" bestFit="1" customWidth="1"/>
    <col min="12" max="12" width="9.21875" customWidth="1"/>
    <col min="13" max="13" width="12.44140625" customWidth="1"/>
    <col min="14" max="14" width="10.21875" customWidth="1"/>
    <col min="15" max="15" width="12.1093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s="3" t="s">
        <v>10</v>
      </c>
      <c r="N1" s="4"/>
      <c r="O1" s="4"/>
      <c r="P1" s="4"/>
      <c r="Q1" s="5"/>
    </row>
    <row r="2" spans="1:17" ht="15" thickBot="1">
      <c r="A2">
        <v>1</v>
      </c>
      <c r="B2">
        <v>5.04</v>
      </c>
      <c r="C2">
        <f>B2-5.088</f>
        <v>-4.8000000000000043E-2</v>
      </c>
      <c r="D2" s="32">
        <f>C2^2</f>
        <v>2.304000000000004E-3</v>
      </c>
      <c r="F2">
        <f>1/(J2*SQRT(2*PI()))</f>
        <v>2.7478661478809352</v>
      </c>
      <c r="G2">
        <f>MIN(B:B)</f>
        <v>4.55</v>
      </c>
      <c r="H2">
        <f>MAX(B:B)</f>
        <v>5.31</v>
      </c>
      <c r="I2">
        <f>1/100*SUM(B:B)</f>
        <v>5.0088000000000008</v>
      </c>
      <c r="J2">
        <f>SQRT(1/99*SUM(D:D))</f>
        <v>0.14518257401623585</v>
      </c>
      <c r="K2">
        <f>1.96*L2</f>
        <v>2.8455784507182228E-2</v>
      </c>
      <c r="L2">
        <f>SQRT(1/(100*99)*SUM(D:D))</f>
        <v>1.4518257401623587E-2</v>
      </c>
      <c r="M2" s="6" t="s">
        <v>11</v>
      </c>
      <c r="N2" s="7" t="s">
        <v>12</v>
      </c>
      <c r="O2" s="8" t="s">
        <v>13</v>
      </c>
      <c r="P2" s="9" t="s">
        <v>14</v>
      </c>
      <c r="Q2" s="10" t="s">
        <v>15</v>
      </c>
    </row>
    <row r="3" spans="1:17">
      <c r="A3">
        <v>2</v>
      </c>
      <c r="B3">
        <v>5</v>
      </c>
      <c r="C3">
        <f t="shared" ref="C3:C51" si="0">B3-5.088</f>
        <v>-8.8000000000000078E-2</v>
      </c>
      <c r="D3" s="32">
        <f t="shared" ref="D3:D66" si="1">C3^2</f>
        <v>7.7440000000000139E-3</v>
      </c>
      <c r="M3" s="11">
        <v>4.55</v>
      </c>
      <c r="N3" s="34">
        <f>COUNTIF(B2:B51,"&lt;=4,634")-COUNTIF(B2:B51, "&lt;4,55")</f>
        <v>1</v>
      </c>
      <c r="O3" s="43">
        <f>N3/(100*(M4-M3))</f>
        <v>0.11904761904761957</v>
      </c>
      <c r="P3" s="43">
        <f>(M4-M3)/2+M3</f>
        <v>4.5919999999999996</v>
      </c>
      <c r="Q3" s="45">
        <f>1/($J$2*SQRT(2*3.14))*EXP(-((P3-$I$2)^2/(2*($J$2^2))))</f>
        <v>4.4607056596826851E-2</v>
      </c>
    </row>
    <row r="4" spans="1:17" ht="15" thickBot="1">
      <c r="A4">
        <v>3</v>
      </c>
      <c r="B4">
        <v>5.12</v>
      </c>
      <c r="C4">
        <f t="shared" si="0"/>
        <v>3.2000000000000028E-2</v>
      </c>
      <c r="D4" s="32">
        <f t="shared" si="1"/>
        <v>1.0240000000000019E-3</v>
      </c>
      <c r="F4">
        <v>8.4000000000000005E-2</v>
      </c>
      <c r="M4" s="12">
        <f>4.55+0.084</f>
        <v>4.6339999999999995</v>
      </c>
      <c r="N4" s="42"/>
      <c r="O4" s="44"/>
      <c r="P4" s="44"/>
      <c r="Q4" s="46"/>
    </row>
    <row r="5" spans="1:17">
      <c r="A5">
        <v>4</v>
      </c>
      <c r="B5">
        <v>5.0199999999999996</v>
      </c>
      <c r="C5">
        <f t="shared" si="0"/>
        <v>-6.8000000000000504E-2</v>
      </c>
      <c r="D5" s="32">
        <f t="shared" si="1"/>
        <v>4.624000000000069E-3</v>
      </c>
      <c r="M5" s="13">
        <v>4.6340000000000003</v>
      </c>
      <c r="N5" s="36">
        <f>COUNTIF(B:B,"&lt;=4,718")-COUNTIF(B:B,"&lt;4,634")</f>
        <v>2</v>
      </c>
      <c r="O5" s="43">
        <f>N5/(100*(M6-M5))</f>
        <v>0.23809523809523914</v>
      </c>
      <c r="P5" s="43">
        <f t="shared" ref="P5" si="2">(M6-M5)/2+M5</f>
        <v>4.6760000000000002</v>
      </c>
      <c r="Q5" s="45">
        <f t="shared" ref="Q3:Q5" si="3">1/($J$2*SQRT(2*3.14))*EXP(-((P5-$I$2)^2/(2*($J$2^2))))</f>
        <v>0.19865023135765023</v>
      </c>
    </row>
    <row r="6" spans="1:17" ht="15" thickBot="1">
      <c r="A6">
        <v>5</v>
      </c>
      <c r="B6">
        <v>4.99</v>
      </c>
      <c r="C6">
        <f t="shared" si="0"/>
        <v>-9.7999999999999865E-2</v>
      </c>
      <c r="D6" s="32">
        <f t="shared" si="1"/>
        <v>9.6039999999999737E-3</v>
      </c>
      <c r="F6">
        <f>1/($L$2*SQRT(2*3.14))*EXP(-((P19-$I$2)^2/(2*($L$2^2))))</f>
        <v>2.2112821176262442E-66</v>
      </c>
      <c r="M6" s="14">
        <f>M5+F4</f>
        <v>4.718</v>
      </c>
      <c r="N6" s="47"/>
      <c r="O6" s="44"/>
      <c r="P6" s="44"/>
      <c r="Q6" s="46"/>
    </row>
    <row r="7" spans="1:17">
      <c r="A7">
        <v>6</v>
      </c>
      <c r="B7">
        <v>4.93</v>
      </c>
      <c r="C7">
        <f t="shared" si="0"/>
        <v>-0.15800000000000036</v>
      </c>
      <c r="D7" s="32">
        <f t="shared" si="1"/>
        <v>2.4964000000000115E-2</v>
      </c>
      <c r="M7" s="15">
        <v>4.718</v>
      </c>
      <c r="N7" s="36">
        <f>COUNTIF(B:B, "&lt;=4,718")-COUNTIF(B:B, "&lt;4,802")</f>
        <v>0</v>
      </c>
      <c r="O7" s="43">
        <f>N7/(100*(M8-M7))</f>
        <v>0</v>
      </c>
      <c r="P7" s="43">
        <f t="shared" ref="P7" si="4">(M8-M7)/2+M7</f>
        <v>4.76</v>
      </c>
      <c r="Q7" s="45">
        <f t="shared" ref="Q7" si="5">1/($J$2*SQRT(2*3.14))*EXP(-((P7-$I$2)^2/(2*($J$2^2))))</f>
        <v>0.6329821916720676</v>
      </c>
    </row>
    <row r="8" spans="1:17" ht="15" thickBot="1">
      <c r="A8">
        <v>7</v>
      </c>
      <c r="B8">
        <v>5.07</v>
      </c>
      <c r="C8">
        <f t="shared" si="0"/>
        <v>-1.7999999999999794E-2</v>
      </c>
      <c r="D8" s="32">
        <f t="shared" si="1"/>
        <v>3.2399999999999259E-4</v>
      </c>
      <c r="M8" s="16">
        <f>M7+F4</f>
        <v>4.8019999999999996</v>
      </c>
      <c r="N8" s="47"/>
      <c r="O8" s="44"/>
      <c r="P8" s="44"/>
      <c r="Q8" s="46"/>
    </row>
    <row r="9" spans="1:17">
      <c r="A9">
        <v>8</v>
      </c>
      <c r="B9">
        <v>5.08</v>
      </c>
      <c r="C9">
        <f t="shared" si="0"/>
        <v>-8.0000000000000071E-3</v>
      </c>
      <c r="D9" s="32">
        <f t="shared" si="1"/>
        <v>6.4000000000000119E-5</v>
      </c>
      <c r="M9" s="11">
        <f>M8</f>
        <v>4.8019999999999996</v>
      </c>
      <c r="N9" s="34">
        <f>COUNTIF(B:B, "&lt;=4,886")-COUNTIF(B:B, "&lt;4,802")</f>
        <v>4</v>
      </c>
      <c r="O9" s="43">
        <f>N9/(100*(M10-M9))</f>
        <v>0.47619047619047827</v>
      </c>
      <c r="P9" s="43">
        <f t="shared" ref="P9:P21" si="6">(M10-M9)/2+M9</f>
        <v>4.8439999999999994</v>
      </c>
      <c r="Q9" s="45">
        <f t="shared" ref="Q9" si="7">1/($J$2*SQRT(2*3.14))*EXP(-((P9-$I$2)^2/(2*($J$2^2))))</f>
        <v>1.4431478173140246</v>
      </c>
    </row>
    <row r="10" spans="1:17" ht="15" thickBot="1">
      <c r="A10">
        <v>9</v>
      </c>
      <c r="B10">
        <v>4.97</v>
      </c>
      <c r="C10">
        <f t="shared" si="0"/>
        <v>-0.11800000000000033</v>
      </c>
      <c r="D10" s="32">
        <f t="shared" si="1"/>
        <v>1.3924000000000077E-2</v>
      </c>
      <c r="M10" s="12">
        <f>M9+F4</f>
        <v>4.8859999999999992</v>
      </c>
      <c r="N10" s="42"/>
      <c r="O10" s="44"/>
      <c r="P10" s="44"/>
      <c r="Q10" s="46"/>
    </row>
    <row r="11" spans="1:17">
      <c r="A11">
        <v>10</v>
      </c>
      <c r="B11">
        <v>4.9400000000000004</v>
      </c>
      <c r="C11">
        <f t="shared" si="0"/>
        <v>-0.14799999999999969</v>
      </c>
      <c r="D11" s="32">
        <f t="shared" si="1"/>
        <v>2.1903999999999906E-2</v>
      </c>
      <c r="M11" s="17">
        <f>M10</f>
        <v>4.8859999999999992</v>
      </c>
      <c r="N11" s="34">
        <f>COUNTIF(B:B, "&lt;=4,97")-COUNTIF(B:B, "&lt;4,886")</f>
        <v>24</v>
      </c>
      <c r="O11" s="43">
        <f>N11/(100*(M12-M11))</f>
        <v>2.8571428571428696</v>
      </c>
      <c r="P11" s="43">
        <f t="shared" si="6"/>
        <v>4.927999999999999</v>
      </c>
      <c r="Q11" s="45">
        <f t="shared" ref="Q11" si="8">1/($J$2*SQRT(2*3.14))*EXP(-((P11-$I$2)^2/(2*($J$2^2))))</f>
        <v>2.3542200306312107</v>
      </c>
    </row>
    <row r="12" spans="1:17" ht="15" thickBot="1">
      <c r="A12">
        <v>11</v>
      </c>
      <c r="B12">
        <v>4.95</v>
      </c>
      <c r="C12">
        <f t="shared" si="0"/>
        <v>-0.1379999999999999</v>
      </c>
      <c r="D12" s="32">
        <f t="shared" si="1"/>
        <v>1.9043999999999974E-2</v>
      </c>
      <c r="M12" s="16">
        <f>M11+F4</f>
        <v>4.9699999999999989</v>
      </c>
      <c r="N12" s="42"/>
      <c r="O12" s="44"/>
      <c r="P12" s="44"/>
      <c r="Q12" s="46"/>
    </row>
    <row r="13" spans="1:17">
      <c r="A13">
        <v>12</v>
      </c>
      <c r="B13">
        <v>5.0199999999999996</v>
      </c>
      <c r="C13">
        <f t="shared" si="0"/>
        <v>-6.8000000000000504E-2</v>
      </c>
      <c r="D13" s="32">
        <f t="shared" si="1"/>
        <v>4.624000000000069E-3</v>
      </c>
      <c r="M13" s="13">
        <f>M12</f>
        <v>4.9699999999999989</v>
      </c>
      <c r="N13" s="34">
        <f>COUNTIF(B:B, "&lt;=5,054")-COUNTIF(B:B, "&lt;4,97")</f>
        <v>44</v>
      </c>
      <c r="O13" s="43">
        <f>N13/(100*(M14-M13))</f>
        <v>5.2380952380952612</v>
      </c>
      <c r="P13" s="43">
        <f t="shared" si="6"/>
        <v>5.0119999999999987</v>
      </c>
      <c r="Q13" s="45">
        <f>1/($J$2*SQRT(2*3.14))*EXP(-((P13-$I$2)^2/(2*($J$2^2))))</f>
        <v>2.7478953727884221</v>
      </c>
    </row>
    <row r="14" spans="1:17" ht="15" thickBot="1">
      <c r="A14">
        <v>13</v>
      </c>
      <c r="B14">
        <v>5.15</v>
      </c>
      <c r="C14">
        <f t="shared" si="0"/>
        <v>6.2000000000000277E-2</v>
      </c>
      <c r="D14" s="32">
        <f t="shared" si="1"/>
        <v>3.8440000000000345E-3</v>
      </c>
      <c r="M14" s="14">
        <f>M13+F4</f>
        <v>5.0539999999999985</v>
      </c>
      <c r="N14" s="42"/>
      <c r="O14" s="44"/>
      <c r="P14" s="44"/>
      <c r="Q14" s="46"/>
    </row>
    <row r="15" spans="1:17">
      <c r="A15">
        <v>14</v>
      </c>
      <c r="B15">
        <v>4.88</v>
      </c>
      <c r="C15">
        <f t="shared" si="0"/>
        <v>-0.20800000000000018</v>
      </c>
      <c r="D15" s="32">
        <f t="shared" si="1"/>
        <v>4.326400000000008E-2</v>
      </c>
      <c r="M15" s="11">
        <f>M14</f>
        <v>5.0539999999999985</v>
      </c>
      <c r="N15" s="34">
        <f>COUNTIF(B:B, "&lt;=5,138")-COUNTIF(B:B, "&lt;5,054")</f>
        <v>22</v>
      </c>
      <c r="O15" s="43">
        <f>N15/(100*(M16-M15))</f>
        <v>2.6190476190476306</v>
      </c>
      <c r="P15" s="43">
        <f t="shared" si="6"/>
        <v>5.0959999999999983</v>
      </c>
      <c r="Q15" s="45">
        <f t="shared" ref="Q15" si="9">1/($J$2*SQRT(2*3.14))*EXP(-((P15-$I$2)^2/(2*($J$2^2))))</f>
        <v>2.2949342292585198</v>
      </c>
    </row>
    <row r="16" spans="1:17" ht="15" thickBot="1">
      <c r="A16">
        <v>15</v>
      </c>
      <c r="B16">
        <v>5.13</v>
      </c>
      <c r="C16">
        <f t="shared" si="0"/>
        <v>4.1999999999999815E-2</v>
      </c>
      <c r="D16" s="32">
        <f t="shared" si="1"/>
        <v>1.7639999999999845E-3</v>
      </c>
      <c r="M16" s="12">
        <f>M15+F4</f>
        <v>5.1379999999999981</v>
      </c>
      <c r="N16" s="42"/>
      <c r="O16" s="44"/>
      <c r="P16" s="44"/>
      <c r="Q16" s="46"/>
    </row>
    <row r="17" spans="1:18">
      <c r="A17">
        <v>16</v>
      </c>
      <c r="B17">
        <v>5.08</v>
      </c>
      <c r="C17">
        <f t="shared" si="0"/>
        <v>-8.0000000000000071E-3</v>
      </c>
      <c r="D17" s="32">
        <f t="shared" si="1"/>
        <v>6.4000000000000119E-5</v>
      </c>
      <c r="M17" s="11">
        <f>M16</f>
        <v>5.1379999999999981</v>
      </c>
      <c r="N17" s="34">
        <f>COUNTIF(B:B, "&lt;=5,222")-COUNTIF(B:B, "&lt;5,138")</f>
        <v>6</v>
      </c>
      <c r="O17" s="43">
        <f>N17/(100*(M18-M17))</f>
        <v>0.71428571428571741</v>
      </c>
      <c r="P17" s="43">
        <f t="shared" si="6"/>
        <v>5.1799999999999979</v>
      </c>
      <c r="Q17" s="45">
        <f>1/($J$2*SQRT(2*3.14))*EXP(-((P17-$I$2)^2/(2*($J$2^2))))</f>
        <v>1.3713780783175922</v>
      </c>
    </row>
    <row r="18" spans="1:18" ht="15" thickBot="1">
      <c r="A18">
        <v>17</v>
      </c>
      <c r="B18">
        <v>4.92</v>
      </c>
      <c r="C18">
        <f t="shared" si="0"/>
        <v>-0.16800000000000015</v>
      </c>
      <c r="D18" s="32">
        <f t="shared" si="1"/>
        <v>2.8224000000000051E-2</v>
      </c>
      <c r="M18" s="12">
        <f>M17+F4</f>
        <v>5.2219999999999978</v>
      </c>
      <c r="N18" s="42"/>
      <c r="O18" s="44"/>
      <c r="P18" s="44"/>
      <c r="Q18" s="46"/>
    </row>
    <row r="19" spans="1:18">
      <c r="A19">
        <v>18</v>
      </c>
      <c r="B19">
        <v>5.0199999999999996</v>
      </c>
      <c r="C19">
        <f t="shared" si="0"/>
        <v>-6.8000000000000504E-2</v>
      </c>
      <c r="D19" s="32">
        <f t="shared" si="1"/>
        <v>4.624000000000069E-3</v>
      </c>
      <c r="M19" s="18">
        <f>M18</f>
        <v>5.2219999999999978</v>
      </c>
      <c r="N19" s="34">
        <f>COUNTIF(B:B, "&lt;=5,306")-COUNTIF(B:B, "&lt;5,222")</f>
        <v>0</v>
      </c>
      <c r="O19" s="43">
        <f>N19/(100*(M20-M19))</f>
        <v>0</v>
      </c>
      <c r="P19" s="43">
        <f t="shared" si="6"/>
        <v>5.2639999999999976</v>
      </c>
      <c r="Q19" s="45">
        <f t="shared" ref="Q19" si="10">1/($J$2*SQRT(2*3.14))*EXP(-((P19-$I$2)^2/(2*($J$2^2))))</f>
        <v>0.58635559135654636</v>
      </c>
    </row>
    <row r="20" spans="1:18" ht="15" thickBot="1">
      <c r="A20">
        <v>19</v>
      </c>
      <c r="B20">
        <v>4.93</v>
      </c>
      <c r="C20">
        <f t="shared" si="0"/>
        <v>-0.15800000000000036</v>
      </c>
      <c r="D20" s="32">
        <f t="shared" si="1"/>
        <v>2.4964000000000115E-2</v>
      </c>
      <c r="M20" s="19">
        <f>M19+F4</f>
        <v>5.3059999999999974</v>
      </c>
      <c r="N20" s="42"/>
      <c r="O20" s="44"/>
      <c r="P20" s="44"/>
      <c r="Q20" s="46"/>
    </row>
    <row r="21" spans="1:18">
      <c r="A21">
        <v>20</v>
      </c>
      <c r="B21">
        <v>4.9800000000000004</v>
      </c>
      <c r="C21">
        <f t="shared" si="0"/>
        <v>-0.10799999999999965</v>
      </c>
      <c r="D21" s="32">
        <f t="shared" si="1"/>
        <v>1.1663999999999924E-2</v>
      </c>
      <c r="M21" s="17">
        <f>M20</f>
        <v>5.3059999999999974</v>
      </c>
      <c r="N21" s="34">
        <f>COUNTIF(B:B, "&lt;=5,31")-COUNTIF(B:B, "&lt;5,306")</f>
        <v>2</v>
      </c>
      <c r="O21" s="43">
        <f>N21/(100*(M22-M21))</f>
        <v>0.23809523809523159</v>
      </c>
      <c r="P21" s="43">
        <f t="shared" si="6"/>
        <v>5.347999999999999</v>
      </c>
      <c r="Q21" s="45">
        <f t="shared" ref="Q21" si="11">1/($J$2*SQRT(2*3.14))*EXP(-((P21-$I$2)^2/(2*($J$2^2))))</f>
        <v>0.17938323314220936</v>
      </c>
    </row>
    <row r="22" spans="1:18" ht="15" thickBot="1">
      <c r="A22">
        <v>21</v>
      </c>
      <c r="B22">
        <v>5.0199999999999996</v>
      </c>
      <c r="C22">
        <f t="shared" si="0"/>
        <v>-6.8000000000000504E-2</v>
      </c>
      <c r="D22" s="32">
        <f t="shared" si="1"/>
        <v>4.624000000000069E-3</v>
      </c>
      <c r="M22" s="20">
        <v>5.39</v>
      </c>
      <c r="N22" s="42"/>
      <c r="O22" s="44"/>
      <c r="P22" s="44"/>
      <c r="Q22" s="46"/>
    </row>
    <row r="23" spans="1:18">
      <c r="A23">
        <v>22</v>
      </c>
      <c r="B23">
        <v>5.13</v>
      </c>
      <c r="C23">
        <f t="shared" si="0"/>
        <v>4.1999999999999815E-2</v>
      </c>
      <c r="D23" s="32">
        <f t="shared" si="1"/>
        <v>1.7639999999999845E-3</v>
      </c>
    </row>
    <row r="24" spans="1:18">
      <c r="A24">
        <v>23</v>
      </c>
      <c r="B24">
        <v>5.07</v>
      </c>
      <c r="C24">
        <f t="shared" si="0"/>
        <v>-1.7999999999999794E-2</v>
      </c>
      <c r="D24" s="32">
        <f t="shared" si="1"/>
        <v>3.2399999999999259E-4</v>
      </c>
      <c r="M24" s="33" t="s">
        <v>17</v>
      </c>
      <c r="N24" s="33"/>
      <c r="O24" s="33"/>
      <c r="P24" s="33"/>
    </row>
    <row r="25" spans="1:18" ht="15" thickBot="1">
      <c r="A25">
        <v>24</v>
      </c>
      <c r="B25">
        <v>4.93</v>
      </c>
      <c r="C25">
        <f t="shared" si="0"/>
        <v>-0.15800000000000036</v>
      </c>
      <c r="D25" s="32">
        <f t="shared" si="1"/>
        <v>2.4964000000000115E-2</v>
      </c>
    </row>
    <row r="26" spans="1:18">
      <c r="A26">
        <v>25</v>
      </c>
      <c r="B26">
        <v>4.8499999999999996</v>
      </c>
      <c r="C26">
        <f t="shared" si="0"/>
        <v>-0.23800000000000043</v>
      </c>
      <c r="D26" s="32">
        <f t="shared" si="1"/>
        <v>5.6644000000000208E-2</v>
      </c>
      <c r="M26" s="34"/>
      <c r="N26" s="22" t="s">
        <v>18</v>
      </c>
      <c r="O26" s="21"/>
      <c r="P26" s="36" t="s">
        <v>19</v>
      </c>
      <c r="Q26" s="38" t="s">
        <v>20</v>
      </c>
      <c r="R26" s="40" t="s">
        <v>21</v>
      </c>
    </row>
    <row r="27" spans="1:18">
      <c r="A27">
        <v>26</v>
      </c>
      <c r="B27">
        <v>4.93</v>
      </c>
      <c r="C27">
        <f t="shared" si="0"/>
        <v>-0.15800000000000036</v>
      </c>
      <c r="D27" s="32">
        <f t="shared" si="1"/>
        <v>2.4964000000000115E-2</v>
      </c>
      <c r="M27" s="35"/>
      <c r="N27" s="23" t="s">
        <v>22</v>
      </c>
      <c r="O27" s="23" t="s">
        <v>23</v>
      </c>
      <c r="P27" s="37"/>
      <c r="Q27" s="39"/>
      <c r="R27" s="41"/>
    </row>
    <row r="28" spans="1:18">
      <c r="A28">
        <v>27</v>
      </c>
      <c r="B28">
        <v>5.03</v>
      </c>
      <c r="C28">
        <f t="shared" si="0"/>
        <v>-5.7999999999999829E-2</v>
      </c>
      <c r="D28" s="32">
        <f t="shared" si="1"/>
        <v>3.3639999999999803E-3</v>
      </c>
      <c r="M28" s="24" t="s">
        <v>24</v>
      </c>
      <c r="N28" s="25">
        <f>$I$2-$J$2</f>
        <v>4.8636174259837652</v>
      </c>
      <c r="O28" s="25">
        <f>$I$2+$J$2</f>
        <v>5.1539825740162364</v>
      </c>
      <c r="P28" s="26">
        <f>COUNTIF(B2:B101,"&lt;=5,15")-COUNTIF(B2:B101, "&lt;4,86")</f>
        <v>88</v>
      </c>
      <c r="Q28" s="26">
        <f>P28/100</f>
        <v>0.88</v>
      </c>
      <c r="R28" s="27">
        <v>0.68300000000000005</v>
      </c>
    </row>
    <row r="29" spans="1:18">
      <c r="A29">
        <v>28</v>
      </c>
      <c r="B29">
        <v>4.97</v>
      </c>
      <c r="C29">
        <f t="shared" si="0"/>
        <v>-0.11800000000000033</v>
      </c>
      <c r="D29" s="32">
        <f t="shared" si="1"/>
        <v>1.3924000000000077E-2</v>
      </c>
      <c r="M29" s="24" t="s">
        <v>25</v>
      </c>
      <c r="N29" s="25">
        <f>$I$2-2*$J$2</f>
        <v>4.7184348519675288</v>
      </c>
      <c r="O29" s="25">
        <f>$I$2+2*$J$2</f>
        <v>5.2991651480324728</v>
      </c>
      <c r="P29" s="26">
        <f>COUNTIF(B2:B101,"&lt;=5,3")-COUNTIF(B2:B101, "&lt;4,72")</f>
        <v>94</v>
      </c>
      <c r="Q29" s="26">
        <f>P29/100</f>
        <v>0.94</v>
      </c>
      <c r="R29" s="27">
        <v>0.95399999999999996</v>
      </c>
    </row>
    <row r="30" spans="1:18" ht="15" thickBot="1">
      <c r="A30">
        <v>29</v>
      </c>
      <c r="B30">
        <v>5.18</v>
      </c>
      <c r="C30">
        <f t="shared" si="0"/>
        <v>9.1999999999999638E-2</v>
      </c>
      <c r="D30" s="32">
        <f t="shared" si="1"/>
        <v>8.4639999999999334E-3</v>
      </c>
      <c r="M30" s="28" t="s">
        <v>26</v>
      </c>
      <c r="N30" s="29">
        <f>$I$2-3*$J$2</f>
        <v>4.5732522779512932</v>
      </c>
      <c r="O30" s="25">
        <f>$I$2+3*$J$2</f>
        <v>5.4443477220487084</v>
      </c>
      <c r="P30" s="30">
        <f>COUNTIF(B2:B101,"&lt;=5,45")-COUNTIF(B2:B101, "&lt;4,57")</f>
        <v>98</v>
      </c>
      <c r="Q30" s="30">
        <f>P30/100</f>
        <v>0.98</v>
      </c>
      <c r="R30" s="31">
        <v>0.997</v>
      </c>
    </row>
    <row r="31" spans="1:18">
      <c r="A31">
        <v>30</v>
      </c>
      <c r="B31">
        <v>4.97</v>
      </c>
      <c r="C31">
        <f t="shared" si="0"/>
        <v>-0.11800000000000033</v>
      </c>
      <c r="D31" s="32">
        <f t="shared" si="1"/>
        <v>1.3924000000000077E-2</v>
      </c>
    </row>
    <row r="32" spans="1:18">
      <c r="A32">
        <v>31</v>
      </c>
      <c r="B32">
        <v>5.22</v>
      </c>
      <c r="C32">
        <f t="shared" si="0"/>
        <v>0.13199999999999967</v>
      </c>
      <c r="D32" s="32">
        <f t="shared" si="1"/>
        <v>1.7423999999999915E-2</v>
      </c>
    </row>
    <row r="33" spans="1:4">
      <c r="A33">
        <v>32</v>
      </c>
      <c r="B33">
        <v>5.13</v>
      </c>
      <c r="C33">
        <f t="shared" si="0"/>
        <v>4.1999999999999815E-2</v>
      </c>
      <c r="D33" s="32">
        <f t="shared" si="1"/>
        <v>1.7639999999999845E-3</v>
      </c>
    </row>
    <row r="34" spans="1:4">
      <c r="A34">
        <v>33</v>
      </c>
      <c r="B34">
        <v>5.1100000000000003</v>
      </c>
      <c r="C34">
        <f t="shared" si="0"/>
        <v>2.2000000000000242E-2</v>
      </c>
      <c r="D34" s="32">
        <f t="shared" si="1"/>
        <v>4.8400000000001063E-4</v>
      </c>
    </row>
    <row r="35" spans="1:4">
      <c r="A35">
        <v>34</v>
      </c>
      <c r="B35">
        <v>4.6500000000000004</v>
      </c>
      <c r="C35">
        <f t="shared" si="0"/>
        <v>-0.43799999999999972</v>
      </c>
      <c r="D35" s="32">
        <f t="shared" si="1"/>
        <v>0.19184399999999976</v>
      </c>
    </row>
    <row r="36" spans="1:4">
      <c r="A36">
        <v>35</v>
      </c>
      <c r="B36">
        <v>5.31</v>
      </c>
      <c r="C36">
        <f t="shared" si="0"/>
        <v>0.22199999999999953</v>
      </c>
      <c r="D36" s="32">
        <f t="shared" si="1"/>
        <v>4.9283999999999793E-2</v>
      </c>
    </row>
    <row r="37" spans="1:4">
      <c r="A37">
        <v>36</v>
      </c>
      <c r="B37">
        <v>4.99</v>
      </c>
      <c r="C37">
        <f t="shared" si="0"/>
        <v>-9.7999999999999865E-2</v>
      </c>
      <c r="D37" s="32">
        <f t="shared" si="1"/>
        <v>9.6039999999999737E-3</v>
      </c>
    </row>
    <row r="38" spans="1:4">
      <c r="A38">
        <v>37</v>
      </c>
      <c r="B38">
        <v>5</v>
      </c>
      <c r="C38">
        <f t="shared" si="0"/>
        <v>-8.8000000000000078E-2</v>
      </c>
      <c r="D38" s="32">
        <f t="shared" si="1"/>
        <v>7.7440000000000139E-3</v>
      </c>
    </row>
    <row r="39" spans="1:4">
      <c r="A39">
        <v>38</v>
      </c>
      <c r="B39">
        <v>4.55</v>
      </c>
      <c r="C39">
        <f t="shared" si="0"/>
        <v>-0.53800000000000026</v>
      </c>
      <c r="D39" s="32">
        <f t="shared" si="1"/>
        <v>0.28944400000000026</v>
      </c>
    </row>
    <row r="40" spans="1:4">
      <c r="A40">
        <v>39</v>
      </c>
      <c r="B40">
        <v>5.1100000000000003</v>
      </c>
      <c r="C40">
        <f t="shared" si="0"/>
        <v>2.2000000000000242E-2</v>
      </c>
      <c r="D40" s="32">
        <f t="shared" si="1"/>
        <v>4.8400000000001063E-4</v>
      </c>
    </row>
    <row r="41" spans="1:4">
      <c r="A41">
        <v>40</v>
      </c>
      <c r="B41">
        <v>4.9800000000000004</v>
      </c>
      <c r="C41">
        <f t="shared" si="0"/>
        <v>-0.10799999999999965</v>
      </c>
      <c r="D41" s="32">
        <f t="shared" si="1"/>
        <v>1.1663999999999924E-2</v>
      </c>
    </row>
    <row r="42" spans="1:4">
      <c r="A42">
        <v>41</v>
      </c>
      <c r="B42">
        <v>5.0999999999999996</v>
      </c>
      <c r="C42">
        <f t="shared" si="0"/>
        <v>1.1999999999999567E-2</v>
      </c>
      <c r="D42" s="32">
        <f t="shared" si="1"/>
        <v>1.439999999999896E-4</v>
      </c>
    </row>
    <row r="43" spans="1:4">
      <c r="A43">
        <v>42</v>
      </c>
      <c r="B43">
        <v>5.04</v>
      </c>
      <c r="C43">
        <f t="shared" si="0"/>
        <v>-4.8000000000000043E-2</v>
      </c>
      <c r="D43" s="32">
        <f t="shared" si="1"/>
        <v>2.304000000000004E-3</v>
      </c>
    </row>
    <row r="44" spans="1:4">
      <c r="A44">
        <v>43</v>
      </c>
      <c r="B44">
        <v>4.95</v>
      </c>
      <c r="C44">
        <f t="shared" si="0"/>
        <v>-0.1379999999999999</v>
      </c>
      <c r="D44" s="32">
        <f t="shared" si="1"/>
        <v>1.9043999999999974E-2</v>
      </c>
    </row>
    <row r="45" spans="1:4">
      <c r="A45">
        <v>44</v>
      </c>
      <c r="B45">
        <v>4.99</v>
      </c>
      <c r="C45">
        <f t="shared" si="0"/>
        <v>-9.7999999999999865E-2</v>
      </c>
      <c r="D45" s="32">
        <f t="shared" si="1"/>
        <v>9.6039999999999737E-3</v>
      </c>
    </row>
    <row r="46" spans="1:4">
      <c r="A46">
        <v>45</v>
      </c>
      <c r="B46">
        <v>4.99</v>
      </c>
      <c r="C46">
        <f t="shared" si="0"/>
        <v>-9.7999999999999865E-2</v>
      </c>
      <c r="D46" s="32">
        <f t="shared" si="1"/>
        <v>9.6039999999999737E-3</v>
      </c>
    </row>
    <row r="47" spans="1:4">
      <c r="A47">
        <v>46</v>
      </c>
      <c r="B47">
        <v>5.04</v>
      </c>
      <c r="C47">
        <f t="shared" si="0"/>
        <v>-4.8000000000000043E-2</v>
      </c>
      <c r="D47" s="32">
        <f t="shared" si="1"/>
        <v>2.304000000000004E-3</v>
      </c>
    </row>
    <row r="48" spans="1:4">
      <c r="A48">
        <v>47</v>
      </c>
      <c r="B48">
        <v>5.03</v>
      </c>
      <c r="C48">
        <f t="shared" si="0"/>
        <v>-5.7999999999999829E-2</v>
      </c>
      <c r="D48" s="32">
        <f t="shared" si="1"/>
        <v>3.3639999999999803E-3</v>
      </c>
    </row>
    <row r="49" spans="1:4">
      <c r="A49">
        <v>48</v>
      </c>
      <c r="B49">
        <v>5.01</v>
      </c>
      <c r="C49">
        <f t="shared" si="0"/>
        <v>-7.8000000000000291E-2</v>
      </c>
      <c r="D49" s="32">
        <f t="shared" si="1"/>
        <v>6.0840000000000451E-3</v>
      </c>
    </row>
    <row r="50" spans="1:4">
      <c r="A50">
        <v>49</v>
      </c>
      <c r="B50">
        <v>4.9400000000000004</v>
      </c>
      <c r="C50">
        <f t="shared" si="0"/>
        <v>-0.14799999999999969</v>
      </c>
      <c r="D50" s="32">
        <f t="shared" si="1"/>
        <v>2.1903999999999906E-2</v>
      </c>
    </row>
    <row r="51" spans="1:4">
      <c r="A51">
        <v>50</v>
      </c>
      <c r="B51">
        <v>5</v>
      </c>
      <c r="C51">
        <f t="shared" si="0"/>
        <v>-8.8000000000000078E-2</v>
      </c>
      <c r="D51" s="32">
        <f t="shared" si="1"/>
        <v>7.7440000000000139E-3</v>
      </c>
    </row>
    <row r="52" spans="1:4">
      <c r="A52">
        <v>51</v>
      </c>
      <c r="B52">
        <v>5.04</v>
      </c>
      <c r="C52">
        <f>B52-5.088</f>
        <v>-4.8000000000000043E-2</v>
      </c>
      <c r="D52" s="32">
        <f>C52^2</f>
        <v>2.304000000000004E-3</v>
      </c>
    </row>
    <row r="53" spans="1:4">
      <c r="A53">
        <v>52</v>
      </c>
      <c r="B53">
        <v>5</v>
      </c>
      <c r="C53">
        <f t="shared" ref="C53:C101" si="12">B53-5.088</f>
        <v>-8.8000000000000078E-2</v>
      </c>
      <c r="D53" s="32">
        <f t="shared" si="1"/>
        <v>7.7440000000000139E-3</v>
      </c>
    </row>
    <row r="54" spans="1:4">
      <c r="A54">
        <v>53</v>
      </c>
      <c r="B54">
        <v>5.12</v>
      </c>
      <c r="C54">
        <f t="shared" si="12"/>
        <v>3.2000000000000028E-2</v>
      </c>
      <c r="D54" s="32">
        <f t="shared" si="1"/>
        <v>1.0240000000000019E-3</v>
      </c>
    </row>
    <row r="55" spans="1:4">
      <c r="A55">
        <v>54</v>
      </c>
      <c r="B55">
        <v>5.0199999999999996</v>
      </c>
      <c r="C55">
        <f t="shared" si="12"/>
        <v>-6.8000000000000504E-2</v>
      </c>
      <c r="D55" s="32">
        <f t="shared" si="1"/>
        <v>4.624000000000069E-3</v>
      </c>
    </row>
    <row r="56" spans="1:4">
      <c r="A56">
        <v>55</v>
      </c>
      <c r="B56">
        <v>4.99</v>
      </c>
      <c r="C56">
        <f t="shared" si="12"/>
        <v>-9.7999999999999865E-2</v>
      </c>
      <c r="D56" s="32">
        <f t="shared" si="1"/>
        <v>9.6039999999999737E-3</v>
      </c>
    </row>
    <row r="57" spans="1:4">
      <c r="A57">
        <v>56</v>
      </c>
      <c r="B57">
        <v>4.93</v>
      </c>
      <c r="C57">
        <f t="shared" si="12"/>
        <v>-0.15800000000000036</v>
      </c>
      <c r="D57" s="32">
        <f t="shared" si="1"/>
        <v>2.4964000000000115E-2</v>
      </c>
    </row>
    <row r="58" spans="1:4">
      <c r="A58">
        <v>57</v>
      </c>
      <c r="B58">
        <v>5.07</v>
      </c>
      <c r="C58">
        <f t="shared" si="12"/>
        <v>-1.7999999999999794E-2</v>
      </c>
      <c r="D58" s="32">
        <f t="shared" si="1"/>
        <v>3.2399999999999259E-4</v>
      </c>
    </row>
    <row r="59" spans="1:4">
      <c r="A59">
        <v>58</v>
      </c>
      <c r="B59">
        <v>5.08</v>
      </c>
      <c r="C59">
        <f t="shared" si="12"/>
        <v>-8.0000000000000071E-3</v>
      </c>
      <c r="D59" s="32">
        <f t="shared" si="1"/>
        <v>6.4000000000000119E-5</v>
      </c>
    </row>
    <row r="60" spans="1:4">
      <c r="A60">
        <v>59</v>
      </c>
      <c r="B60">
        <v>4.97</v>
      </c>
      <c r="C60">
        <f t="shared" si="12"/>
        <v>-0.11800000000000033</v>
      </c>
      <c r="D60" s="32">
        <f t="shared" si="1"/>
        <v>1.3924000000000077E-2</v>
      </c>
    </row>
    <row r="61" spans="1:4">
      <c r="A61">
        <v>60</v>
      </c>
      <c r="B61">
        <v>4.9400000000000004</v>
      </c>
      <c r="C61">
        <f t="shared" si="12"/>
        <v>-0.14799999999999969</v>
      </c>
      <c r="D61" s="32">
        <f t="shared" si="1"/>
        <v>2.1903999999999906E-2</v>
      </c>
    </row>
    <row r="62" spans="1:4">
      <c r="A62">
        <v>61</v>
      </c>
      <c r="B62">
        <v>4.95</v>
      </c>
      <c r="C62">
        <f t="shared" si="12"/>
        <v>-0.1379999999999999</v>
      </c>
      <c r="D62" s="32">
        <f t="shared" si="1"/>
        <v>1.9043999999999974E-2</v>
      </c>
    </row>
    <row r="63" spans="1:4">
      <c r="A63">
        <v>62</v>
      </c>
      <c r="B63">
        <v>5.0199999999999996</v>
      </c>
      <c r="C63">
        <f t="shared" si="12"/>
        <v>-6.8000000000000504E-2</v>
      </c>
      <c r="D63" s="32">
        <f t="shared" si="1"/>
        <v>4.624000000000069E-3</v>
      </c>
    </row>
    <row r="64" spans="1:4">
      <c r="A64">
        <v>63</v>
      </c>
      <c r="B64">
        <v>5.15</v>
      </c>
      <c r="C64">
        <f t="shared" si="12"/>
        <v>6.2000000000000277E-2</v>
      </c>
      <c r="D64" s="32">
        <f t="shared" si="1"/>
        <v>3.8440000000000345E-3</v>
      </c>
    </row>
    <row r="65" spans="1:4">
      <c r="A65">
        <v>64</v>
      </c>
      <c r="B65">
        <v>4.88</v>
      </c>
      <c r="C65">
        <f t="shared" si="12"/>
        <v>-0.20800000000000018</v>
      </c>
      <c r="D65" s="32">
        <f t="shared" si="1"/>
        <v>4.326400000000008E-2</v>
      </c>
    </row>
    <row r="66" spans="1:4">
      <c r="A66">
        <v>65</v>
      </c>
      <c r="B66">
        <v>5.13</v>
      </c>
      <c r="C66">
        <f t="shared" si="12"/>
        <v>4.1999999999999815E-2</v>
      </c>
      <c r="D66" s="32">
        <f t="shared" si="1"/>
        <v>1.7639999999999845E-3</v>
      </c>
    </row>
    <row r="67" spans="1:4">
      <c r="A67">
        <v>66</v>
      </c>
      <c r="B67">
        <v>5.08</v>
      </c>
      <c r="C67">
        <f t="shared" si="12"/>
        <v>-8.0000000000000071E-3</v>
      </c>
      <c r="D67" s="32">
        <f t="shared" ref="D67:D101" si="13">C67^2</f>
        <v>6.4000000000000119E-5</v>
      </c>
    </row>
    <row r="68" spans="1:4">
      <c r="A68">
        <v>67</v>
      </c>
      <c r="B68">
        <v>4.92</v>
      </c>
      <c r="C68">
        <f t="shared" si="12"/>
        <v>-0.16800000000000015</v>
      </c>
      <c r="D68" s="32">
        <f t="shared" si="13"/>
        <v>2.8224000000000051E-2</v>
      </c>
    </row>
    <row r="69" spans="1:4">
      <c r="A69">
        <v>68</v>
      </c>
      <c r="B69">
        <v>5.0199999999999996</v>
      </c>
      <c r="C69">
        <f t="shared" si="12"/>
        <v>-6.8000000000000504E-2</v>
      </c>
      <c r="D69" s="32">
        <f t="shared" si="13"/>
        <v>4.624000000000069E-3</v>
      </c>
    </row>
    <row r="70" spans="1:4">
      <c r="A70">
        <v>69</v>
      </c>
      <c r="B70">
        <v>4.93</v>
      </c>
      <c r="C70">
        <f t="shared" si="12"/>
        <v>-0.15800000000000036</v>
      </c>
      <c r="D70" s="32">
        <f t="shared" si="13"/>
        <v>2.4964000000000115E-2</v>
      </c>
    </row>
    <row r="71" spans="1:4">
      <c r="A71">
        <v>70</v>
      </c>
      <c r="B71">
        <v>4.9800000000000004</v>
      </c>
      <c r="C71">
        <f t="shared" si="12"/>
        <v>-0.10799999999999965</v>
      </c>
      <c r="D71" s="32">
        <f t="shared" si="13"/>
        <v>1.1663999999999924E-2</v>
      </c>
    </row>
    <row r="72" spans="1:4">
      <c r="A72">
        <v>71</v>
      </c>
      <c r="B72">
        <v>5.0199999999999996</v>
      </c>
      <c r="C72">
        <f t="shared" si="12"/>
        <v>-6.8000000000000504E-2</v>
      </c>
      <c r="D72" s="32">
        <f t="shared" si="13"/>
        <v>4.624000000000069E-3</v>
      </c>
    </row>
    <row r="73" spans="1:4">
      <c r="A73">
        <v>72</v>
      </c>
      <c r="B73">
        <v>5.13</v>
      </c>
      <c r="C73">
        <f t="shared" si="12"/>
        <v>4.1999999999999815E-2</v>
      </c>
      <c r="D73" s="32">
        <f t="shared" si="13"/>
        <v>1.7639999999999845E-3</v>
      </c>
    </row>
    <row r="74" spans="1:4">
      <c r="A74">
        <v>73</v>
      </c>
      <c r="B74">
        <v>5.07</v>
      </c>
      <c r="C74">
        <f t="shared" si="12"/>
        <v>-1.7999999999999794E-2</v>
      </c>
      <c r="D74" s="32">
        <f t="shared" si="13"/>
        <v>3.2399999999999259E-4</v>
      </c>
    </row>
    <row r="75" spans="1:4">
      <c r="A75">
        <v>74</v>
      </c>
      <c r="B75">
        <v>4.93</v>
      </c>
      <c r="C75">
        <f t="shared" si="12"/>
        <v>-0.15800000000000036</v>
      </c>
      <c r="D75" s="32">
        <f t="shared" si="13"/>
        <v>2.4964000000000115E-2</v>
      </c>
    </row>
    <row r="76" spans="1:4">
      <c r="A76">
        <v>75</v>
      </c>
      <c r="B76">
        <v>4.8499999999999996</v>
      </c>
      <c r="C76">
        <f t="shared" si="12"/>
        <v>-0.23800000000000043</v>
      </c>
      <c r="D76" s="32">
        <f t="shared" si="13"/>
        <v>5.6644000000000208E-2</v>
      </c>
    </row>
    <row r="77" spans="1:4">
      <c r="A77">
        <v>76</v>
      </c>
      <c r="B77">
        <v>4.93</v>
      </c>
      <c r="C77">
        <f t="shared" si="12"/>
        <v>-0.15800000000000036</v>
      </c>
      <c r="D77" s="32">
        <f t="shared" si="13"/>
        <v>2.4964000000000115E-2</v>
      </c>
    </row>
    <row r="78" spans="1:4">
      <c r="A78">
        <v>77</v>
      </c>
      <c r="B78">
        <v>5.03</v>
      </c>
      <c r="C78">
        <f t="shared" si="12"/>
        <v>-5.7999999999999829E-2</v>
      </c>
      <c r="D78" s="32">
        <f t="shared" si="13"/>
        <v>3.3639999999999803E-3</v>
      </c>
    </row>
    <row r="79" spans="1:4">
      <c r="A79">
        <v>78</v>
      </c>
      <c r="B79">
        <v>4.97</v>
      </c>
      <c r="C79">
        <f t="shared" si="12"/>
        <v>-0.11800000000000033</v>
      </c>
      <c r="D79" s="32">
        <f t="shared" si="13"/>
        <v>1.3924000000000077E-2</v>
      </c>
    </row>
    <row r="80" spans="1:4">
      <c r="A80">
        <v>79</v>
      </c>
      <c r="B80">
        <v>5.18</v>
      </c>
      <c r="C80">
        <f t="shared" si="12"/>
        <v>9.1999999999999638E-2</v>
      </c>
      <c r="D80" s="32">
        <f t="shared" si="13"/>
        <v>8.4639999999999334E-3</v>
      </c>
    </row>
    <row r="81" spans="1:4">
      <c r="A81">
        <v>80</v>
      </c>
      <c r="B81">
        <v>4.97</v>
      </c>
      <c r="C81">
        <f t="shared" si="12"/>
        <v>-0.11800000000000033</v>
      </c>
      <c r="D81" s="32">
        <f t="shared" si="13"/>
        <v>1.3924000000000077E-2</v>
      </c>
    </row>
    <row r="82" spans="1:4">
      <c r="A82">
        <v>81</v>
      </c>
      <c r="B82">
        <v>5.22</v>
      </c>
      <c r="C82">
        <f t="shared" si="12"/>
        <v>0.13199999999999967</v>
      </c>
      <c r="D82" s="32">
        <f t="shared" si="13"/>
        <v>1.7423999999999915E-2</v>
      </c>
    </row>
    <row r="83" spans="1:4">
      <c r="A83">
        <v>82</v>
      </c>
      <c r="B83">
        <v>5.13</v>
      </c>
      <c r="C83">
        <f t="shared" si="12"/>
        <v>4.1999999999999815E-2</v>
      </c>
      <c r="D83" s="32">
        <f t="shared" si="13"/>
        <v>1.7639999999999845E-3</v>
      </c>
    </row>
    <row r="84" spans="1:4">
      <c r="A84">
        <v>83</v>
      </c>
      <c r="B84">
        <v>5.1100000000000003</v>
      </c>
      <c r="C84">
        <f t="shared" si="12"/>
        <v>2.2000000000000242E-2</v>
      </c>
      <c r="D84" s="32">
        <f t="shared" si="13"/>
        <v>4.8400000000001063E-4</v>
      </c>
    </row>
    <row r="85" spans="1:4">
      <c r="A85">
        <v>84</v>
      </c>
      <c r="B85">
        <v>4.6500000000000004</v>
      </c>
      <c r="C85">
        <f t="shared" si="12"/>
        <v>-0.43799999999999972</v>
      </c>
      <c r="D85" s="32">
        <f t="shared" si="13"/>
        <v>0.19184399999999976</v>
      </c>
    </row>
    <row r="86" spans="1:4">
      <c r="A86">
        <v>85</v>
      </c>
      <c r="B86">
        <v>5.31</v>
      </c>
      <c r="C86">
        <f t="shared" si="12"/>
        <v>0.22199999999999953</v>
      </c>
      <c r="D86" s="32">
        <f t="shared" si="13"/>
        <v>4.9283999999999793E-2</v>
      </c>
    </row>
    <row r="87" spans="1:4">
      <c r="A87">
        <v>86</v>
      </c>
      <c r="B87">
        <v>4.99</v>
      </c>
      <c r="C87">
        <f t="shared" si="12"/>
        <v>-9.7999999999999865E-2</v>
      </c>
      <c r="D87" s="32">
        <f t="shared" si="13"/>
        <v>9.6039999999999737E-3</v>
      </c>
    </row>
    <row r="88" spans="1:4">
      <c r="A88">
        <v>87</v>
      </c>
      <c r="B88">
        <v>5</v>
      </c>
      <c r="C88">
        <f t="shared" si="12"/>
        <v>-8.8000000000000078E-2</v>
      </c>
      <c r="D88" s="32">
        <f t="shared" si="13"/>
        <v>7.7440000000000139E-3</v>
      </c>
    </row>
    <row r="89" spans="1:4">
      <c r="A89">
        <v>88</v>
      </c>
      <c r="B89">
        <v>4.55</v>
      </c>
      <c r="C89">
        <f t="shared" si="12"/>
        <v>-0.53800000000000026</v>
      </c>
      <c r="D89" s="32">
        <f t="shared" si="13"/>
        <v>0.28944400000000026</v>
      </c>
    </row>
    <row r="90" spans="1:4">
      <c r="A90">
        <v>89</v>
      </c>
      <c r="B90">
        <v>5.1100000000000003</v>
      </c>
      <c r="C90">
        <f t="shared" si="12"/>
        <v>2.2000000000000242E-2</v>
      </c>
      <c r="D90" s="32">
        <f t="shared" si="13"/>
        <v>4.8400000000001063E-4</v>
      </c>
    </row>
    <row r="91" spans="1:4">
      <c r="A91">
        <v>90</v>
      </c>
      <c r="B91">
        <v>4.9800000000000004</v>
      </c>
      <c r="C91">
        <f t="shared" si="12"/>
        <v>-0.10799999999999965</v>
      </c>
      <c r="D91" s="32">
        <f t="shared" si="13"/>
        <v>1.1663999999999924E-2</v>
      </c>
    </row>
    <row r="92" spans="1:4">
      <c r="A92">
        <v>91</v>
      </c>
      <c r="B92">
        <v>5.0999999999999996</v>
      </c>
      <c r="C92">
        <f t="shared" si="12"/>
        <v>1.1999999999999567E-2</v>
      </c>
      <c r="D92" s="32">
        <f t="shared" si="13"/>
        <v>1.439999999999896E-4</v>
      </c>
    </row>
    <row r="93" spans="1:4">
      <c r="A93">
        <v>92</v>
      </c>
      <c r="B93">
        <v>5.04</v>
      </c>
      <c r="C93">
        <f t="shared" si="12"/>
        <v>-4.8000000000000043E-2</v>
      </c>
      <c r="D93" s="32">
        <f t="shared" si="13"/>
        <v>2.304000000000004E-3</v>
      </c>
    </row>
    <row r="94" spans="1:4">
      <c r="A94">
        <v>93</v>
      </c>
      <c r="B94">
        <v>4.95</v>
      </c>
      <c r="C94">
        <f t="shared" si="12"/>
        <v>-0.1379999999999999</v>
      </c>
      <c r="D94" s="32">
        <f t="shared" si="13"/>
        <v>1.9043999999999974E-2</v>
      </c>
    </row>
    <row r="95" spans="1:4">
      <c r="A95">
        <v>94</v>
      </c>
      <c r="B95">
        <v>4.99</v>
      </c>
      <c r="C95">
        <f t="shared" si="12"/>
        <v>-9.7999999999999865E-2</v>
      </c>
      <c r="D95" s="32">
        <f t="shared" si="13"/>
        <v>9.6039999999999737E-3</v>
      </c>
    </row>
    <row r="96" spans="1:4">
      <c r="A96">
        <v>95</v>
      </c>
      <c r="B96">
        <v>4.99</v>
      </c>
      <c r="C96">
        <f t="shared" si="12"/>
        <v>-9.7999999999999865E-2</v>
      </c>
      <c r="D96" s="32">
        <f t="shared" si="13"/>
        <v>9.6039999999999737E-3</v>
      </c>
    </row>
    <row r="97" spans="1:4">
      <c r="A97">
        <v>96</v>
      </c>
      <c r="B97">
        <v>5.04</v>
      </c>
      <c r="C97">
        <f t="shared" si="12"/>
        <v>-4.8000000000000043E-2</v>
      </c>
      <c r="D97" s="32">
        <f t="shared" si="13"/>
        <v>2.304000000000004E-3</v>
      </c>
    </row>
    <row r="98" spans="1:4">
      <c r="A98">
        <v>97</v>
      </c>
      <c r="B98">
        <v>5.03</v>
      </c>
      <c r="C98">
        <f t="shared" si="12"/>
        <v>-5.7999999999999829E-2</v>
      </c>
      <c r="D98" s="32">
        <f t="shared" si="13"/>
        <v>3.3639999999999803E-3</v>
      </c>
    </row>
    <row r="99" spans="1:4">
      <c r="A99">
        <v>98</v>
      </c>
      <c r="B99">
        <v>5.01</v>
      </c>
      <c r="C99">
        <f t="shared" si="12"/>
        <v>-7.8000000000000291E-2</v>
      </c>
      <c r="D99" s="32">
        <f t="shared" si="13"/>
        <v>6.0840000000000451E-3</v>
      </c>
    </row>
    <row r="100" spans="1:4">
      <c r="A100">
        <v>99</v>
      </c>
      <c r="B100">
        <v>4.9400000000000004</v>
      </c>
      <c r="C100">
        <f t="shared" si="12"/>
        <v>-0.14799999999999969</v>
      </c>
      <c r="D100" s="32">
        <f t="shared" si="13"/>
        <v>2.1903999999999906E-2</v>
      </c>
    </row>
    <row r="101" spans="1:4">
      <c r="A101">
        <v>100</v>
      </c>
      <c r="B101">
        <v>5</v>
      </c>
      <c r="C101">
        <f t="shared" si="12"/>
        <v>-8.8000000000000078E-2</v>
      </c>
      <c r="D101" s="32">
        <f t="shared" si="13"/>
        <v>7.7440000000000139E-3</v>
      </c>
    </row>
    <row r="102" spans="1:4" ht="15.6">
      <c r="B102" s="1"/>
    </row>
    <row r="103" spans="1:4" ht="16.2" thickBot="1">
      <c r="B103" s="2"/>
    </row>
  </sheetData>
  <mergeCells count="45">
    <mergeCell ref="N3:N4"/>
    <mergeCell ref="O3:O4"/>
    <mergeCell ref="P3:P4"/>
    <mergeCell ref="Q3:Q4"/>
    <mergeCell ref="N5:N6"/>
    <mergeCell ref="O5:O6"/>
    <mergeCell ref="P5:P6"/>
    <mergeCell ref="Q5:Q6"/>
    <mergeCell ref="N7:N8"/>
    <mergeCell ref="O7:O8"/>
    <mergeCell ref="P7:P8"/>
    <mergeCell ref="Q7:Q8"/>
    <mergeCell ref="N9:N10"/>
    <mergeCell ref="O9:O10"/>
    <mergeCell ref="P9:P10"/>
    <mergeCell ref="Q9:Q10"/>
    <mergeCell ref="N11:N12"/>
    <mergeCell ref="O11:O12"/>
    <mergeCell ref="P11:P12"/>
    <mergeCell ref="Q11:Q12"/>
    <mergeCell ref="N13:N14"/>
    <mergeCell ref="O13:O14"/>
    <mergeCell ref="P13:P14"/>
    <mergeCell ref="Q13:Q14"/>
    <mergeCell ref="N15:N16"/>
    <mergeCell ref="O15:O16"/>
    <mergeCell ref="P15:P16"/>
    <mergeCell ref="Q15:Q16"/>
    <mergeCell ref="N17:N18"/>
    <mergeCell ref="O17:O18"/>
    <mergeCell ref="P17:P18"/>
    <mergeCell ref="Q17:Q18"/>
    <mergeCell ref="N19:N20"/>
    <mergeCell ref="O19:O20"/>
    <mergeCell ref="P19:P20"/>
    <mergeCell ref="Q19:Q20"/>
    <mergeCell ref="N21:N22"/>
    <mergeCell ref="O21:O22"/>
    <mergeCell ref="P21:P22"/>
    <mergeCell ref="Q21:Q22"/>
    <mergeCell ref="M24:P24"/>
    <mergeCell ref="M26:M27"/>
    <mergeCell ref="P26:P27"/>
    <mergeCell ref="Q26:Q27"/>
    <mergeCell ref="R26:R2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Сливкин</dc:creator>
  <cp:lastModifiedBy>Артём Сливкин</cp:lastModifiedBy>
  <dcterms:created xsi:type="dcterms:W3CDTF">2023-09-12T07:24:06Z</dcterms:created>
  <dcterms:modified xsi:type="dcterms:W3CDTF">2023-10-12T17:25:49Z</dcterms:modified>
</cp:coreProperties>
</file>