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2 2024/PHYS2941/"/>
    </mc:Choice>
  </mc:AlternateContent>
  <xr:revisionPtr revIDLastSave="859" documentId="8_{55114B99-5D99-4E9C-BEE1-4898FC167501}" xr6:coauthVersionLast="47" xr6:coauthVersionMax="47" xr10:uidLastSave="{E8574F7D-0438-47DF-92AE-E5E875933CF9}"/>
  <bookViews>
    <workbookView xWindow="-110" yWindow="-110" windowWidth="19420" windowHeight="11020" xr2:uid="{827A336B-60F6-46BD-9B93-DFD45DC005E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1" l="1"/>
  <c r="I104" i="1" s="1"/>
  <c r="P45" i="1"/>
  <c r="I105" i="1" s="1"/>
  <c r="P31" i="1"/>
  <c r="I91" i="1" s="1"/>
  <c r="P32" i="1"/>
  <c r="I92" i="1" s="1"/>
  <c r="P33" i="1"/>
  <c r="I93" i="1" s="1"/>
  <c r="P34" i="1"/>
  <c r="I94" i="1" s="1"/>
  <c r="P35" i="1"/>
  <c r="I95" i="1" s="1"/>
  <c r="P36" i="1"/>
  <c r="I96" i="1" s="1"/>
  <c r="P37" i="1"/>
  <c r="I97" i="1" s="1"/>
  <c r="P38" i="1"/>
  <c r="I98" i="1" s="1"/>
  <c r="P39" i="1"/>
  <c r="I99" i="1" s="1"/>
  <c r="P40" i="1"/>
  <c r="I100" i="1" s="1"/>
  <c r="P41" i="1"/>
  <c r="I101" i="1" s="1"/>
  <c r="P42" i="1"/>
  <c r="I102" i="1" s="1"/>
  <c r="P43" i="1"/>
  <c r="I103" i="1" s="1"/>
  <c r="P30" i="1"/>
  <c r="I90" i="1" s="1"/>
  <c r="U75" i="1" l="1"/>
  <c r="J118" i="1"/>
  <c r="J130" i="1"/>
  <c r="J131" i="1"/>
  <c r="J132" i="1"/>
  <c r="J117" i="1"/>
  <c r="J83" i="1"/>
  <c r="J84" i="1"/>
  <c r="J85" i="1"/>
  <c r="F71" i="1"/>
  <c r="F83" i="1"/>
  <c r="F84" i="1"/>
  <c r="F85" i="1"/>
  <c r="F70" i="1"/>
  <c r="E27" i="1"/>
  <c r="G27" i="1" s="1"/>
  <c r="G72" i="1" s="1"/>
  <c r="E28" i="1"/>
  <c r="D73" i="1" s="1"/>
  <c r="E29" i="1"/>
  <c r="D74" i="1" s="1"/>
  <c r="E30" i="1"/>
  <c r="F30" i="1" s="1"/>
  <c r="E31" i="1"/>
  <c r="D76" i="1" s="1"/>
  <c r="E32" i="1"/>
  <c r="F32" i="1" s="1"/>
  <c r="L37" i="1" s="1"/>
  <c r="E33" i="1"/>
  <c r="G33" i="1" s="1"/>
  <c r="G78" i="1" s="1"/>
  <c r="E34" i="1"/>
  <c r="G34" i="1" s="1"/>
  <c r="G79" i="1" s="1"/>
  <c r="E35" i="1"/>
  <c r="F35" i="1" s="1"/>
  <c r="L40" i="1" s="1"/>
  <c r="E36" i="1"/>
  <c r="D81" i="1" s="1"/>
  <c r="E37" i="1"/>
  <c r="D82" i="1" s="1"/>
  <c r="D12" i="1"/>
  <c r="D13" i="1"/>
  <c r="D14" i="1"/>
  <c r="D15" i="1"/>
  <c r="D16" i="1"/>
  <c r="D17" i="1"/>
  <c r="D11" i="1"/>
  <c r="AB64" i="1"/>
  <c r="AB63" i="1"/>
  <c r="AB62" i="1"/>
  <c r="T75" i="1"/>
  <c r="V53" i="1"/>
  <c r="V75" i="1" s="1"/>
  <c r="N31" i="1"/>
  <c r="N43" i="1"/>
  <c r="N44" i="1"/>
  <c r="N45" i="1"/>
  <c r="M31" i="1"/>
  <c r="M43" i="1"/>
  <c r="M44" i="1"/>
  <c r="M45" i="1"/>
  <c r="L43" i="1"/>
  <c r="L44" i="1"/>
  <c r="L45" i="1"/>
  <c r="L31" i="1"/>
  <c r="N30" i="1"/>
  <c r="M30" i="1"/>
  <c r="L30" i="1"/>
  <c r="AD35" i="1"/>
  <c r="AE35" i="1" s="1"/>
  <c r="N42" i="1" s="1"/>
  <c r="AD34" i="1"/>
  <c r="AE34" i="1" s="1"/>
  <c r="N41" i="1" s="1"/>
  <c r="AD33" i="1"/>
  <c r="AE33" i="1" s="1"/>
  <c r="N40" i="1" s="1"/>
  <c r="AD32" i="1"/>
  <c r="AE32" i="1" s="1"/>
  <c r="N39" i="1" s="1"/>
  <c r="AD31" i="1"/>
  <c r="AE31" i="1" s="1"/>
  <c r="N38" i="1" s="1"/>
  <c r="AD30" i="1"/>
  <c r="AE30" i="1" s="1"/>
  <c r="J124" i="1" s="1"/>
  <c r="AD29" i="1"/>
  <c r="AE29" i="1" s="1"/>
  <c r="N36" i="1" s="1"/>
  <c r="AD28" i="1"/>
  <c r="AE28" i="1" s="1"/>
  <c r="N35" i="1" s="1"/>
  <c r="AD27" i="1"/>
  <c r="AE27" i="1" s="1"/>
  <c r="N34" i="1" s="1"/>
  <c r="AD26" i="1"/>
  <c r="AE26" i="1" s="1"/>
  <c r="N33" i="1" s="1"/>
  <c r="AD25" i="1"/>
  <c r="AE25" i="1" s="1"/>
  <c r="N32" i="1" s="1"/>
  <c r="AD17" i="1"/>
  <c r="AE17" i="1" s="1"/>
  <c r="M42" i="1" s="1"/>
  <c r="AD16" i="1"/>
  <c r="AE16" i="1" s="1"/>
  <c r="M41" i="1" s="1"/>
  <c r="AD15" i="1"/>
  <c r="AE15" i="1" s="1"/>
  <c r="M40" i="1" s="1"/>
  <c r="AD14" i="1"/>
  <c r="AE14" i="1" s="1"/>
  <c r="M39" i="1" s="1"/>
  <c r="AD13" i="1"/>
  <c r="AE13" i="1" s="1"/>
  <c r="J78" i="1" s="1"/>
  <c r="AD12" i="1"/>
  <c r="H77" i="1" s="1"/>
  <c r="AD11" i="1"/>
  <c r="AE11" i="1" s="1"/>
  <c r="M36" i="1" s="1"/>
  <c r="AD10" i="1"/>
  <c r="AE10" i="1" s="1"/>
  <c r="M35" i="1" s="1"/>
  <c r="AD9" i="1"/>
  <c r="AE9" i="1" s="1"/>
  <c r="M34" i="1" s="1"/>
  <c r="AD8" i="1"/>
  <c r="AE8" i="1" s="1"/>
  <c r="M33" i="1" s="1"/>
  <c r="AD7" i="1"/>
  <c r="AE7" i="1" s="1"/>
  <c r="M32" i="1" s="1"/>
  <c r="W10" i="1"/>
  <c r="W9" i="1"/>
  <c r="W8" i="1"/>
  <c r="W7" i="1"/>
  <c r="W6" i="1"/>
  <c r="W5" i="1"/>
  <c r="W4" i="1"/>
  <c r="F4" i="1"/>
  <c r="E12" i="1" s="1"/>
  <c r="F5" i="1"/>
  <c r="E13" i="1" s="1"/>
  <c r="F6" i="1"/>
  <c r="E14" i="1" s="1"/>
  <c r="F7" i="1"/>
  <c r="E15" i="1" s="1"/>
  <c r="F8" i="1"/>
  <c r="E16" i="1" s="1"/>
  <c r="F9" i="1"/>
  <c r="E17" i="1" s="1"/>
  <c r="F3" i="1"/>
  <c r="E11" i="1" s="1"/>
  <c r="F29" i="1" l="1"/>
  <c r="L34" i="1" s="1"/>
  <c r="O34" i="1" s="1"/>
  <c r="U34" i="1" s="1"/>
  <c r="V34" i="1" s="1"/>
  <c r="V54" i="1" s="1"/>
  <c r="X76" i="1" s="1"/>
  <c r="F37" i="1"/>
  <c r="L42" i="1" s="1"/>
  <c r="G37" i="1"/>
  <c r="G82" i="1" s="1"/>
  <c r="AF26" i="1"/>
  <c r="K120" i="1" s="1"/>
  <c r="AF12" i="1"/>
  <c r="K77" i="1" s="1"/>
  <c r="H104" i="1"/>
  <c r="H103" i="1"/>
  <c r="H90" i="1"/>
  <c r="AF34" i="1"/>
  <c r="K128" i="1" s="1"/>
  <c r="AE12" i="1"/>
  <c r="G32" i="1"/>
  <c r="G77" i="1" s="1"/>
  <c r="H91" i="1"/>
  <c r="O44" i="1"/>
  <c r="U44" i="1" s="1"/>
  <c r="V44" i="1" s="1"/>
  <c r="V64" i="1" s="1"/>
  <c r="V77" i="1" s="1"/>
  <c r="J128" i="1"/>
  <c r="H76" i="1"/>
  <c r="D80" i="1"/>
  <c r="H75" i="1"/>
  <c r="AF11" i="1"/>
  <c r="K76" i="1" s="1"/>
  <c r="J127" i="1"/>
  <c r="D79" i="1"/>
  <c r="H119" i="1"/>
  <c r="J120" i="1"/>
  <c r="D78" i="1"/>
  <c r="H125" i="1"/>
  <c r="J119" i="1"/>
  <c r="F36" i="1"/>
  <c r="F81" i="1" s="1"/>
  <c r="H105" i="1"/>
  <c r="D77" i="1"/>
  <c r="F31" i="1"/>
  <c r="G31" i="1"/>
  <c r="G76" i="1" s="1"/>
  <c r="J76" i="1"/>
  <c r="AF33" i="1"/>
  <c r="K127" i="1" s="1"/>
  <c r="J75" i="1"/>
  <c r="AF32" i="1"/>
  <c r="K126" i="1" s="1"/>
  <c r="L35" i="1"/>
  <c r="O35" i="1" s="1"/>
  <c r="U35" i="1" s="1"/>
  <c r="V35" i="1" s="1"/>
  <c r="F75" i="1"/>
  <c r="H82" i="1"/>
  <c r="H74" i="1"/>
  <c r="J80" i="1"/>
  <c r="AF7" i="1"/>
  <c r="K72" i="1" s="1"/>
  <c r="AF10" i="1"/>
  <c r="K75" i="1" s="1"/>
  <c r="H128" i="1"/>
  <c r="H120" i="1"/>
  <c r="J126" i="1"/>
  <c r="AF29" i="1"/>
  <c r="K123" i="1" s="1"/>
  <c r="AF13" i="1"/>
  <c r="K78" i="1" s="1"/>
  <c r="J121" i="1"/>
  <c r="H129" i="1"/>
  <c r="H121" i="1"/>
  <c r="AF30" i="1"/>
  <c r="K124" i="1" s="1"/>
  <c r="F28" i="1"/>
  <c r="M38" i="1"/>
  <c r="G30" i="1"/>
  <c r="G75" i="1" s="1"/>
  <c r="D72" i="1"/>
  <c r="D75" i="1"/>
  <c r="H81" i="1"/>
  <c r="H73" i="1"/>
  <c r="J79" i="1"/>
  <c r="AF17" i="1"/>
  <c r="K82" i="1" s="1"/>
  <c r="AF9" i="1"/>
  <c r="K74" i="1" s="1"/>
  <c r="H127" i="1"/>
  <c r="J125" i="1"/>
  <c r="AF25" i="1"/>
  <c r="K119" i="1" s="1"/>
  <c r="AF28" i="1"/>
  <c r="K122" i="1" s="1"/>
  <c r="F82" i="1"/>
  <c r="H123" i="1"/>
  <c r="N37" i="1"/>
  <c r="G36" i="1"/>
  <c r="G81" i="1" s="1"/>
  <c r="G29" i="1"/>
  <c r="G74" i="1" s="1"/>
  <c r="F77" i="1"/>
  <c r="H80" i="1"/>
  <c r="J72" i="1"/>
  <c r="AF16" i="1"/>
  <c r="K81" i="1" s="1"/>
  <c r="AF8" i="1"/>
  <c r="K73" i="1" s="1"/>
  <c r="H126" i="1"/>
  <c r="AF35" i="1"/>
  <c r="K129" i="1" s="1"/>
  <c r="AF27" i="1"/>
  <c r="K121" i="1" s="1"/>
  <c r="G28" i="1"/>
  <c r="G73" i="1" s="1"/>
  <c r="H79" i="1"/>
  <c r="AF15" i="1"/>
  <c r="K80" i="1" s="1"/>
  <c r="J123" i="1"/>
  <c r="H78" i="1"/>
  <c r="AF14" i="1"/>
  <c r="K79" i="1" s="1"/>
  <c r="H124" i="1"/>
  <c r="J122" i="1"/>
  <c r="F74" i="1"/>
  <c r="J129" i="1"/>
  <c r="O40" i="1"/>
  <c r="U40" i="1" s="1"/>
  <c r="V40" i="1" s="1"/>
  <c r="J82" i="1"/>
  <c r="J74" i="1"/>
  <c r="H122" i="1"/>
  <c r="AF31" i="1"/>
  <c r="K125" i="1" s="1"/>
  <c r="F80" i="1"/>
  <c r="H72" i="1"/>
  <c r="J81" i="1"/>
  <c r="H101" i="1" s="1"/>
  <c r="J73" i="1"/>
  <c r="F27" i="1"/>
  <c r="O31" i="1"/>
  <c r="U31" i="1" s="1"/>
  <c r="V31" i="1" s="1"/>
  <c r="F34" i="1"/>
  <c r="O30" i="1"/>
  <c r="U30" i="1" s="1"/>
  <c r="O43" i="1"/>
  <c r="U43" i="1" s="1"/>
  <c r="V43" i="1" s="1"/>
  <c r="O45" i="1"/>
  <c r="U45" i="1" s="1"/>
  <c r="V45" i="1" s="1"/>
  <c r="G35" i="1"/>
  <c r="G80" i="1" s="1"/>
  <c r="O42" i="1"/>
  <c r="U42" i="1" s="1"/>
  <c r="V42" i="1" s="1"/>
  <c r="F33" i="1"/>
  <c r="K94" i="1" l="1"/>
  <c r="L41" i="1"/>
  <c r="O41" i="1" s="1"/>
  <c r="U41" i="1" s="1"/>
  <c r="V41" i="1" s="1"/>
  <c r="K104" i="1"/>
  <c r="L104" i="1" s="1"/>
  <c r="M104" i="1" s="1"/>
  <c r="W77" i="1" s="1"/>
  <c r="H95" i="1"/>
  <c r="M37" i="1"/>
  <c r="O37" i="1" s="1"/>
  <c r="U37" i="1" s="1"/>
  <c r="V37" i="1" s="1"/>
  <c r="V57" i="1" s="1"/>
  <c r="T79" i="1" s="1"/>
  <c r="J77" i="1"/>
  <c r="H97" i="1" s="1"/>
  <c r="H100" i="1"/>
  <c r="L36" i="1"/>
  <c r="O36" i="1" s="1"/>
  <c r="U36" i="1" s="1"/>
  <c r="V36" i="1" s="1"/>
  <c r="K96" i="1" s="1"/>
  <c r="F76" i="1"/>
  <c r="H96" i="1" s="1"/>
  <c r="H102" i="1"/>
  <c r="V55" i="1"/>
  <c r="T78" i="1" s="1"/>
  <c r="K95" i="1"/>
  <c r="V30" i="1"/>
  <c r="K90" i="1" s="1"/>
  <c r="L90" i="1" s="1"/>
  <c r="H94" i="1"/>
  <c r="V63" i="1"/>
  <c r="V76" i="1" s="1"/>
  <c r="K103" i="1"/>
  <c r="L103" i="1" s="1"/>
  <c r="M103" i="1" s="1"/>
  <c r="W76" i="1" s="1"/>
  <c r="L39" i="1"/>
  <c r="O39" i="1" s="1"/>
  <c r="U39" i="1" s="1"/>
  <c r="V39" i="1" s="1"/>
  <c r="F79" i="1"/>
  <c r="H99" i="1" s="1"/>
  <c r="V51" i="1"/>
  <c r="X75" i="1" s="1"/>
  <c r="K91" i="1"/>
  <c r="L91" i="1" s="1"/>
  <c r="L38" i="1"/>
  <c r="O38" i="1" s="1"/>
  <c r="U38" i="1" s="1"/>
  <c r="V38" i="1" s="1"/>
  <c r="F78" i="1"/>
  <c r="H98" i="1" s="1"/>
  <c r="V61" i="1"/>
  <c r="X80" i="1" s="1"/>
  <c r="K101" i="1"/>
  <c r="V62" i="1"/>
  <c r="T81" i="1" s="1"/>
  <c r="K102" i="1"/>
  <c r="L32" i="1"/>
  <c r="O32" i="1" s="1"/>
  <c r="U32" i="1" s="1"/>
  <c r="V32" i="1" s="1"/>
  <c r="F72" i="1"/>
  <c r="H92" i="1" s="1"/>
  <c r="V65" i="1"/>
  <c r="V78" i="1" s="1"/>
  <c r="K105" i="1"/>
  <c r="L105" i="1" s="1"/>
  <c r="V60" i="1"/>
  <c r="X79" i="1" s="1"/>
  <c r="K100" i="1"/>
  <c r="L33" i="1"/>
  <c r="O33" i="1" s="1"/>
  <c r="U33" i="1" s="1"/>
  <c r="V33" i="1" s="1"/>
  <c r="K93" i="1" s="1"/>
  <c r="F73" i="1"/>
  <c r="H93" i="1" s="1"/>
  <c r="M91" i="1" l="1"/>
  <c r="Q91" i="1" s="1"/>
  <c r="M105" i="1"/>
  <c r="W78" i="1" s="1"/>
  <c r="Y75" i="1"/>
  <c r="L94" i="1"/>
  <c r="M94" i="1" s="1"/>
  <c r="L96" i="1"/>
  <c r="K97" i="1"/>
  <c r="L97" i="1" s="1"/>
  <c r="M97" i="1" s="1"/>
  <c r="V56" i="1"/>
  <c r="X77" i="1" s="1"/>
  <c r="L93" i="1"/>
  <c r="M93" i="1" s="1"/>
  <c r="L100" i="1"/>
  <c r="M100" i="1" s="1"/>
  <c r="L102" i="1"/>
  <c r="M102" i="1" s="1"/>
  <c r="V58" i="1"/>
  <c r="X78" i="1" s="1"/>
  <c r="K98" i="1"/>
  <c r="L98" i="1" s="1"/>
  <c r="M98" i="1" s="1"/>
  <c r="V59" i="1"/>
  <c r="T80" i="1" s="1"/>
  <c r="K99" i="1"/>
  <c r="L99" i="1" s="1"/>
  <c r="V50" i="1"/>
  <c r="T76" i="1" s="1"/>
  <c r="L101" i="1"/>
  <c r="M101" i="1" s="1"/>
  <c r="L95" i="1"/>
  <c r="M95" i="1" s="1"/>
  <c r="V52" i="1"/>
  <c r="T77" i="1" s="1"/>
  <c r="K92" i="1"/>
  <c r="L92" i="1" s="1"/>
  <c r="M92" i="1" s="1"/>
  <c r="M99" i="1" l="1"/>
  <c r="Q99" i="1" s="1"/>
  <c r="M90" i="1"/>
  <c r="M96" i="1"/>
  <c r="Y77" i="1" s="1"/>
  <c r="U80" i="1"/>
  <c r="Q97" i="1"/>
  <c r="U79" i="1"/>
  <c r="Q96" i="1"/>
  <c r="Q98" i="1"/>
  <c r="Y78" i="1"/>
  <c r="Q94" i="1"/>
  <c r="Y76" i="1"/>
  <c r="Q92" i="1"/>
  <c r="U77" i="1"/>
  <c r="Q102" i="1"/>
  <c r="U81" i="1"/>
  <c r="Q95" i="1"/>
  <c r="U78" i="1"/>
  <c r="Y79" i="1"/>
  <c r="Q100" i="1"/>
  <c r="Y80" i="1"/>
  <c r="Q101" i="1"/>
  <c r="Q93" i="1"/>
  <c r="W75" i="1"/>
  <c r="U76" i="1" l="1"/>
  <c r="Q90" i="1"/>
</calcChain>
</file>

<file path=xl/sharedStrings.xml><?xml version="1.0" encoding="utf-8"?>
<sst xmlns="http://schemas.openxmlformats.org/spreadsheetml/2006/main" count="336" uniqueCount="105">
  <si>
    <t>Colour</t>
  </si>
  <si>
    <t>angle</t>
  </si>
  <si>
    <t>blue</t>
  </si>
  <si>
    <t>green (bright)</t>
  </si>
  <si>
    <t>yellow</t>
  </si>
  <si>
    <t>violet</t>
  </si>
  <si>
    <t xml:space="preserve">violet </t>
  </si>
  <si>
    <t>blue/green</t>
  </si>
  <si>
    <t>wavelength (nm)</t>
  </si>
  <si>
    <t>big angle (degrees)</t>
  </si>
  <si>
    <t>small angle (degrees)</t>
  </si>
  <si>
    <t>Wavelength(nm)</t>
  </si>
  <si>
    <t>red</t>
  </si>
  <si>
    <t>infrared</t>
  </si>
  <si>
    <t>yellow (bright)</t>
  </si>
  <si>
    <t>green</t>
  </si>
  <si>
    <t>blue-green</t>
  </si>
  <si>
    <t>violet (weak)</t>
  </si>
  <si>
    <t>ultraviolet</t>
  </si>
  <si>
    <t>Trial 1</t>
  </si>
  <si>
    <t>Trial 2</t>
  </si>
  <si>
    <t>Trial</t>
  </si>
  <si>
    <t xml:space="preserve">Average of wavelengths </t>
  </si>
  <si>
    <t>Average Wavelength (nm)</t>
  </si>
  <si>
    <t>Energy calculations for each transition</t>
  </si>
  <si>
    <t>Orbital transition</t>
  </si>
  <si>
    <t>3d -&gt; 3p</t>
  </si>
  <si>
    <t>5s -&gt; 3p</t>
  </si>
  <si>
    <t>3p -&gt; 3s</t>
  </si>
  <si>
    <t>4d -&gt; 3p</t>
  </si>
  <si>
    <t>6s -&gt; 3p</t>
  </si>
  <si>
    <t>5d -&gt; 3p</t>
  </si>
  <si>
    <t>7s -&gt; 3p</t>
  </si>
  <si>
    <t>6d -&gt; 3p</t>
  </si>
  <si>
    <t>8s -&gt; 3p</t>
  </si>
  <si>
    <t>7d -&gt; 3p</t>
  </si>
  <si>
    <t>8d -&gt; 3p</t>
  </si>
  <si>
    <t>9s -&gt; 3p</t>
  </si>
  <si>
    <t>4p -&gt; 3s</t>
  </si>
  <si>
    <t>5p -&gt; 3s</t>
  </si>
  <si>
    <t>6p -&gt; 3s</t>
  </si>
  <si>
    <t>Energy (J)</t>
  </si>
  <si>
    <t>4s -&gt; 3p</t>
  </si>
  <si>
    <t>Sodium Emission lines (week 1)</t>
  </si>
  <si>
    <t>Sodium Emission lines (week 2)</t>
  </si>
  <si>
    <t>Mercury Emission lines (week 2)</t>
  </si>
  <si>
    <t>Mercury Emission lines (week 1)</t>
  </si>
  <si>
    <t>Energy (eV)</t>
  </si>
  <si>
    <t>Energy for each orbital</t>
  </si>
  <si>
    <t>Orbital transitions sum</t>
  </si>
  <si>
    <t>Orbital</t>
  </si>
  <si>
    <t>4s</t>
  </si>
  <si>
    <t>3d</t>
  </si>
  <si>
    <t>5s</t>
  </si>
  <si>
    <t>3p</t>
  </si>
  <si>
    <t>4d</t>
  </si>
  <si>
    <t>6s</t>
  </si>
  <si>
    <t>5d</t>
  </si>
  <si>
    <t>7s</t>
  </si>
  <si>
    <t>6d</t>
  </si>
  <si>
    <t>8s</t>
  </si>
  <si>
    <t>7d</t>
  </si>
  <si>
    <t>8d</t>
  </si>
  <si>
    <t>9s</t>
  </si>
  <si>
    <t>4p</t>
  </si>
  <si>
    <t>5p</t>
  </si>
  <si>
    <t>6p</t>
  </si>
  <si>
    <t xml:space="preserve">3s + (3p -&gt; 3s) + (4s -&gt; 3p) </t>
  </si>
  <si>
    <t xml:space="preserve">3s + (3p -&gt; 3s) + (3d -&gt; 3p) </t>
  </si>
  <si>
    <t xml:space="preserve">3s + (3p -&gt; 3s) + (5s -&gt; 3p) </t>
  </si>
  <si>
    <t>3s + (3p -&gt; 3s)</t>
  </si>
  <si>
    <t xml:space="preserve">3s + (3p -&gt; 3s) + (4d -&gt; 3p) </t>
  </si>
  <si>
    <t xml:space="preserve">3s + (3p -&gt; 3s) + (6s -&gt; 3p) </t>
  </si>
  <si>
    <t xml:space="preserve">3s + (3p -&gt; 3s) + (5d -&gt; 3p) </t>
  </si>
  <si>
    <t xml:space="preserve">3s + (3p -&gt; 3s) + (7s -&gt; 3p) </t>
  </si>
  <si>
    <t xml:space="preserve">3s + (3p -&gt; 3s) + (6d -&gt; 3p) </t>
  </si>
  <si>
    <t xml:space="preserve">3s + (3p -&gt; 3s) + (8s -&gt; 3p) </t>
  </si>
  <si>
    <t xml:space="preserve">3s + (3p -&gt; 3s) + (7d -&gt; 3p) </t>
  </si>
  <si>
    <t xml:space="preserve">3s + (3p -&gt; 3s) + (8d -&gt; 3p) </t>
  </si>
  <si>
    <t xml:space="preserve">3s + (3p -&gt; 3s) + (9s -&gt; 3p) </t>
  </si>
  <si>
    <t>3s + (4p -&gt; 3s)</t>
  </si>
  <si>
    <t>3s + (5p -&gt; 3s)</t>
  </si>
  <si>
    <t>3s + (6p -&gt; 3s)</t>
  </si>
  <si>
    <t>Principle quantum number</t>
  </si>
  <si>
    <t>s</t>
  </si>
  <si>
    <t>p</t>
  </si>
  <si>
    <t>d</t>
  </si>
  <si>
    <t>Seperated energy orbitals for each priniciple quantum number</t>
  </si>
  <si>
    <t>1/sqrt(-E) for respective orbital types</t>
  </si>
  <si>
    <t>orbital</t>
  </si>
  <si>
    <r>
      <t>δ</t>
    </r>
    <r>
      <rPr>
        <vertAlign val="subscript"/>
        <sz val="11"/>
        <color theme="1"/>
        <rFont val="Aptos Narrow"/>
        <family val="2"/>
        <scheme val="minor"/>
      </rPr>
      <t>l</t>
    </r>
  </si>
  <si>
    <t>uncert</t>
  </si>
  <si>
    <t>Trial 3</t>
  </si>
  <si>
    <t>angle (degrees)</t>
  </si>
  <si>
    <t>uncertainty (nm)</t>
  </si>
  <si>
    <t>uncertainty (degrees)</t>
  </si>
  <si>
    <t>na</t>
  </si>
  <si>
    <t>Wavelength</t>
  </si>
  <si>
    <t>uncertainty in wavelength</t>
  </si>
  <si>
    <t>Uncertainty in eV</t>
  </si>
  <si>
    <t>Uncertainty s</t>
  </si>
  <si>
    <t>uncertainty p</t>
  </si>
  <si>
    <t>uncertainty d</t>
  </si>
  <si>
    <t>Uncertainty in wavelength (nm)</t>
  </si>
  <si>
    <t>snip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</si>
</sst>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2" xfId="0" applyFill="1" applyBorder="1"/>
    <xf numFmtId="0" fontId="0" fillId="0" borderId="2" xfId="0" applyBorder="1"/>
    <xf numFmtId="0" fontId="0" fillId="3" borderId="0" xfId="0" applyFill="1"/>
    <xf numFmtId="0" fontId="0" fillId="3" borderId="2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33989501312336"/>
                  <c:y val="-0.16067913385826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Sheet1!$T$4:$T$10</c:f>
              <c:numCache>
                <c:formatCode>General</c:formatCode>
                <c:ptCount val="7"/>
                <c:pt idx="0">
                  <c:v>404.65499999999997</c:v>
                </c:pt>
                <c:pt idx="1">
                  <c:v>407.78100000000001</c:v>
                </c:pt>
                <c:pt idx="2">
                  <c:v>435.83499999999998</c:v>
                </c:pt>
                <c:pt idx="3">
                  <c:v>491.60399999999998</c:v>
                </c:pt>
                <c:pt idx="4">
                  <c:v>546.07399999999996</c:v>
                </c:pt>
                <c:pt idx="5">
                  <c:v>576.95899999999995</c:v>
                </c:pt>
                <c:pt idx="6">
                  <c:v>579.06500000000005</c:v>
                </c:pt>
              </c:numCache>
            </c:numRef>
          </c:xVal>
          <c:yVal>
            <c:numRef>
              <c:f>Sheet1!$W$4:$W$10</c:f>
              <c:numCache>
                <c:formatCode>General</c:formatCode>
                <c:ptCount val="7"/>
                <c:pt idx="0">
                  <c:v>145.30000000000001</c:v>
                </c:pt>
                <c:pt idx="1">
                  <c:v>145.05000000000001</c:v>
                </c:pt>
                <c:pt idx="2">
                  <c:v>142.6</c:v>
                </c:pt>
                <c:pt idx="3">
                  <c:v>139.6</c:v>
                </c:pt>
                <c:pt idx="4">
                  <c:v>137.85</c:v>
                </c:pt>
                <c:pt idx="5">
                  <c:v>137.15</c:v>
                </c:pt>
                <c:pt idx="6">
                  <c:v>137.1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5-4044-80F6-976BDF64B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3599"/>
        <c:axId val="558584559"/>
      </c:scatterChart>
      <c:valAx>
        <c:axId val="5585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</a:t>
                </a:r>
                <a:r>
                  <a:rPr lang="en-AU" baseline="0"/>
                  <a:t> (nm)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4559"/>
        <c:crosses val="autoZero"/>
        <c:crossBetween val="midCat"/>
      </c:valAx>
      <c:valAx>
        <c:axId val="5585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Sheet1!$C$3:$C$9</c:f>
              <c:numCache>
                <c:formatCode>General</c:formatCode>
                <c:ptCount val="7"/>
                <c:pt idx="0">
                  <c:v>404.65499999999997</c:v>
                </c:pt>
                <c:pt idx="1">
                  <c:v>407.78100000000001</c:v>
                </c:pt>
                <c:pt idx="2">
                  <c:v>435.83499999999998</c:v>
                </c:pt>
                <c:pt idx="3">
                  <c:v>491.60399999999998</c:v>
                </c:pt>
                <c:pt idx="4">
                  <c:v>546.07399999999996</c:v>
                </c:pt>
                <c:pt idx="5">
                  <c:v>576.95899999999995</c:v>
                </c:pt>
                <c:pt idx="6">
                  <c:v>579.06500000000005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145.32</c:v>
                </c:pt>
                <c:pt idx="1">
                  <c:v>144.87</c:v>
                </c:pt>
                <c:pt idx="2">
                  <c:v>142.55000000000001</c:v>
                </c:pt>
                <c:pt idx="3">
                  <c:v>139.62</c:v>
                </c:pt>
                <c:pt idx="4">
                  <c:v>137.80000000000001</c:v>
                </c:pt>
                <c:pt idx="5">
                  <c:v>137.18</c:v>
                </c:pt>
                <c:pt idx="6">
                  <c:v>137.12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5-4C15-85DC-B345CDE3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8255"/>
        <c:axId val="1021173936"/>
      </c:scatterChart>
      <c:valAx>
        <c:axId val="52922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</a:t>
                </a:r>
                <a:r>
                  <a:rPr lang="en-AU" baseline="0"/>
                  <a:t> (nm)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73936"/>
        <c:crosses val="autoZero"/>
        <c:crossBetween val="midCat"/>
      </c:valAx>
      <c:valAx>
        <c:axId val="10211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Sheet1!$S$75:$S$80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Sheet1!$T$75:$T$80</c:f>
              <c:numCache>
                <c:formatCode>General</c:formatCode>
                <c:ptCount val="6"/>
                <c:pt idx="0">
                  <c:v>0.44112400437390686</c:v>
                </c:pt>
                <c:pt idx="1">
                  <c:v>0.72895491683660785</c:v>
                </c:pt>
                <c:pt idx="2">
                  <c:v>1.0708892630145648</c:v>
                </c:pt>
                <c:pt idx="3">
                  <c:v>1.2501425703547153</c:v>
                </c:pt>
                <c:pt idx="4">
                  <c:v>1.4436227523256291</c:v>
                </c:pt>
                <c:pt idx="5">
                  <c:v>1.7301361987161983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7-431F-BEEC-364AD66C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23039"/>
        <c:axId val="427520639"/>
      </c:scatterChart>
      <c:valAx>
        <c:axId val="42752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Principle quantum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0639"/>
        <c:crosses val="autoZero"/>
        <c:crossBetween val="midCat"/>
      </c:valAx>
      <c:valAx>
        <c:axId val="4275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1/sqrt(-E)</a:t>
                </a:r>
                <a:r>
                  <a:rPr lang="en-AU" baseline="0"/>
                  <a:t> for s orbitals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Sheet1!$S$75:$S$81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Sheet1!$V$75:$V$81</c:f>
              <c:numCache>
                <c:formatCode>General</c:formatCode>
                <c:ptCount val="7"/>
                <c:pt idx="0">
                  <c:v>0.58013346619923412</c:v>
                </c:pt>
                <c:pt idx="1">
                  <c:v>0.8507207058847529</c:v>
                </c:pt>
                <c:pt idx="2">
                  <c:v>1.1253755000918693</c:v>
                </c:pt>
                <c:pt idx="3">
                  <c:v>1.4004887701991946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7-416E-85A7-3D6B3CD9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80799"/>
        <c:axId val="375881279"/>
      </c:scatterChart>
      <c:valAx>
        <c:axId val="37588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Principle quantum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81279"/>
        <c:crosses val="autoZero"/>
        <c:crossBetween val="midCat"/>
      </c:valAx>
      <c:valAx>
        <c:axId val="3758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1/sqrt(-E) for p orbitals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8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Sheet1!$S$75:$S$80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Sheet1!$X$75:$X$80</c:f>
              <c:numCache>
                <c:formatCode>General</c:formatCode>
                <c:ptCount val="6"/>
                <c:pt idx="0">
                  <c:v>0.82866560293064528</c:v>
                </c:pt>
                <c:pt idx="1">
                  <c:v>1.1508989821799915</c:v>
                </c:pt>
                <c:pt idx="2">
                  <c:v>1.3100928219084522</c:v>
                </c:pt>
                <c:pt idx="3">
                  <c:v>1.5217766720725843</c:v>
                </c:pt>
                <c:pt idx="4">
                  <c:v>2.3524524275707326</c:v>
                </c:pt>
                <c:pt idx="5">
                  <c:v>3.0992422314567443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1-4037-AD2C-042A9DEB6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11423"/>
        <c:axId val="383710463"/>
      </c:scatterChart>
      <c:valAx>
        <c:axId val="38371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Principle</a:t>
                </a:r>
                <a:r>
                  <a:rPr lang="en-AU" baseline="0"/>
                  <a:t> quantum number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10463"/>
        <c:crosses val="autoZero"/>
        <c:crossBetween val="midCat"/>
      </c:valAx>
      <c:valAx>
        <c:axId val="3837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1/sqrt(-E) for d orbitals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1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546695</xdr:colOff>
      <xdr:row>11</xdr:row>
      <xdr:rowOff>111720</xdr:rowOff>
    </xdr:from>
    <xdr:to>
      <xdr:col>24</xdr:col>
      <xdr:colOff>316508</xdr:colOff>
      <xdr:row>26</xdr:row>
      <xdr:rowOff>27186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3D228-51AD-1D56-4052-371642AD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44287</xdr:colOff>
      <xdr:row>2</xdr:row>
      <xdr:rowOff>167945</xdr:rowOff>
    </xdr:from>
    <xdr:to>
      <xdr:col>14</xdr:col>
      <xdr:colOff>767501</xdr:colOff>
      <xdr:row>17</xdr:row>
      <xdr:rowOff>89122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9F03F-B3C3-0B21-D0F0-9E0ABFE9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111532</xdr:colOff>
      <xdr:row>46</xdr:row>
      <xdr:rowOff>81572</xdr:rowOff>
    </xdr:from>
    <xdr:to>
      <xdr:col>37</xdr:col>
      <xdr:colOff>385070</xdr:colOff>
      <xdr:row>61</xdr:row>
      <xdr:rowOff>16118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E67D5-AD4D-2438-505A-0CCB6340C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528379</xdr:colOff>
      <xdr:row>46</xdr:row>
      <xdr:rowOff>49285</xdr:rowOff>
    </xdr:from>
    <xdr:to>
      <xdr:col>46</xdr:col>
      <xdr:colOff>198240</xdr:colOff>
      <xdr:row>60</xdr:row>
      <xdr:rowOff>166797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40316-2155-22EE-8CD1-62841B254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97941</xdr:colOff>
      <xdr:row>62</xdr:row>
      <xdr:rowOff>102892</xdr:rowOff>
    </xdr:from>
    <xdr:to>
      <xdr:col>37</xdr:col>
      <xdr:colOff>354094</xdr:colOff>
      <xdr:row>77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0F36D9-F5A7-FD52-0149-2809C1E10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60FC-F1AE-4E8A-A834-BA27BB419456}">
  <dimension ref="B1:AF132"/>
  <sheetViews>
    <sheetView tabSelected="1" topLeftCell="D110" zoomScale="80" zoomScaleNormal="100" workbookViewId="0">
      <selection activeCell="H141" sqref="H141"/>
    </sheetView>
  </sheetViews>
  <sheetFormatPr defaultRowHeight="14.5" x14ac:dyDescent="0.35"/>
  <cols>
    <col min="2" max="2" width="17" customWidth="1"/>
    <col min="3" max="3" width="17.54296875" customWidth="1"/>
    <col min="4" max="4" width="18.54296875" customWidth="1"/>
    <col min="5" max="5" width="20.81640625" customWidth="1"/>
    <col min="6" max="6" width="14.1796875" customWidth="1"/>
    <col min="7" max="7" width="17.6328125" customWidth="1"/>
    <col min="8" max="8" width="20.26953125" customWidth="1"/>
    <col min="9" max="9" width="20.453125" customWidth="1"/>
    <col min="10" max="10" width="20.26953125" customWidth="1"/>
    <col min="11" max="11" width="17.6328125" customWidth="1"/>
    <col min="12" max="12" width="15.54296875" customWidth="1"/>
    <col min="13" max="13" width="21.1796875" customWidth="1"/>
    <col min="14" max="14" width="17" customWidth="1"/>
    <col min="15" max="15" width="21.54296875" customWidth="1"/>
    <col min="16" max="16" width="27.6328125" customWidth="1"/>
    <col min="19" max="19" width="13.08984375" customWidth="1"/>
    <col min="20" max="20" width="14.81640625" customWidth="1"/>
    <col min="21" max="21" width="16.7265625" customWidth="1"/>
    <col min="22" max="22" width="19.81640625" customWidth="1"/>
    <col min="23" max="23" width="20.453125" customWidth="1"/>
    <col min="25" max="25" width="14.08984375" customWidth="1"/>
    <col min="27" max="27" width="23.453125" customWidth="1"/>
    <col min="28" max="28" width="17.36328125" customWidth="1"/>
    <col min="29" max="29" width="20" customWidth="1"/>
    <col min="31" max="31" width="17.81640625" customWidth="1"/>
    <col min="35" max="35" width="25.08984375" customWidth="1"/>
    <col min="36" max="37" width="20.7265625" customWidth="1"/>
    <col min="38" max="39" width="21.36328125" customWidth="1"/>
    <col min="40" max="40" width="20.08984375" customWidth="1"/>
  </cols>
  <sheetData>
    <row r="1" spans="2:32" x14ac:dyDescent="0.35">
      <c r="B1" s="16" t="s">
        <v>46</v>
      </c>
      <c r="C1" s="16"/>
      <c r="D1" s="16"/>
      <c r="E1" s="16"/>
      <c r="F1" s="16"/>
    </row>
    <row r="2" spans="2:32" x14ac:dyDescent="0.35">
      <c r="B2" s="1" t="s">
        <v>0</v>
      </c>
      <c r="C2" s="1" t="s">
        <v>8</v>
      </c>
      <c r="D2" s="1" t="s">
        <v>9</v>
      </c>
      <c r="E2" s="1" t="s">
        <v>10</v>
      </c>
      <c r="F2" s="1" t="s">
        <v>1</v>
      </c>
      <c r="G2" s="8" t="s">
        <v>91</v>
      </c>
      <c r="S2" s="16" t="s">
        <v>45</v>
      </c>
      <c r="T2" s="16"/>
      <c r="U2" s="16"/>
      <c r="V2" s="16"/>
      <c r="W2" s="16"/>
      <c r="AA2" s="16" t="s">
        <v>44</v>
      </c>
      <c r="AB2" s="16"/>
      <c r="AC2" s="16"/>
      <c r="AD2" s="16"/>
      <c r="AE2" s="16"/>
    </row>
    <row r="3" spans="2:32" x14ac:dyDescent="0.35">
      <c r="B3" s="1" t="s">
        <v>5</v>
      </c>
      <c r="C3" s="2">
        <v>404.65499999999997</v>
      </c>
      <c r="D3" s="2">
        <v>145</v>
      </c>
      <c r="E3" s="2">
        <v>0.32</v>
      </c>
      <c r="F3" s="2">
        <f t="shared" ref="F3:F9" si="0">SUM(D3,E3)</f>
        <v>145.32</v>
      </c>
      <c r="G3" s="9">
        <v>0.5</v>
      </c>
      <c r="S3" s="1" t="s">
        <v>0</v>
      </c>
      <c r="T3" s="1" t="s">
        <v>8</v>
      </c>
      <c r="U3" s="1" t="s">
        <v>9</v>
      </c>
      <c r="V3" s="1" t="s">
        <v>10</v>
      </c>
      <c r="W3" s="1" t="s">
        <v>1</v>
      </c>
      <c r="AA3" s="17" t="s">
        <v>19</v>
      </c>
      <c r="AB3" s="17"/>
      <c r="AC3" s="17"/>
      <c r="AD3" s="17"/>
      <c r="AE3" s="17"/>
    </row>
    <row r="4" spans="2:32" x14ac:dyDescent="0.35">
      <c r="B4" s="1" t="s">
        <v>6</v>
      </c>
      <c r="C4" s="2">
        <v>407.78100000000001</v>
      </c>
      <c r="D4" s="2">
        <v>144.5</v>
      </c>
      <c r="E4" s="2">
        <v>0.37</v>
      </c>
      <c r="F4" s="2">
        <f t="shared" si="0"/>
        <v>144.87</v>
      </c>
      <c r="G4" s="9">
        <v>0.5</v>
      </c>
      <c r="S4" s="1" t="s">
        <v>5</v>
      </c>
      <c r="T4" s="2">
        <v>404.65499999999997</v>
      </c>
      <c r="U4" s="2">
        <v>145</v>
      </c>
      <c r="V4" s="2">
        <v>0.3</v>
      </c>
      <c r="W4" s="2">
        <f>SUM(U4,V4)</f>
        <v>145.30000000000001</v>
      </c>
      <c r="AA4" s="1" t="s">
        <v>0</v>
      </c>
      <c r="AB4" s="1" t="s">
        <v>9</v>
      </c>
      <c r="AC4" s="1" t="s">
        <v>10</v>
      </c>
      <c r="AD4" s="1" t="s">
        <v>1</v>
      </c>
      <c r="AE4" s="1" t="s">
        <v>11</v>
      </c>
    </row>
    <row r="5" spans="2:32" x14ac:dyDescent="0.35">
      <c r="B5" s="1" t="s">
        <v>2</v>
      </c>
      <c r="C5" s="2">
        <v>435.83499999999998</v>
      </c>
      <c r="D5" s="2">
        <v>142.5</v>
      </c>
      <c r="E5" s="2">
        <v>0.05</v>
      </c>
      <c r="F5" s="2">
        <f t="shared" si="0"/>
        <v>142.55000000000001</v>
      </c>
      <c r="G5" s="9">
        <v>0.5</v>
      </c>
      <c r="S5" s="1" t="s">
        <v>6</v>
      </c>
      <c r="T5" s="2">
        <v>407.78100000000001</v>
      </c>
      <c r="U5" s="2">
        <v>145</v>
      </c>
      <c r="V5" s="2">
        <v>0.05</v>
      </c>
      <c r="W5" s="2">
        <f t="shared" ref="W5:W10" si="1">SUM(U5,V5)</f>
        <v>145.05000000000001</v>
      </c>
      <c r="AA5" s="1" t="s">
        <v>13</v>
      </c>
      <c r="AB5" s="3"/>
      <c r="AC5" s="3"/>
      <c r="AD5" s="3"/>
      <c r="AE5" s="2">
        <v>1139</v>
      </c>
    </row>
    <row r="6" spans="2:32" x14ac:dyDescent="0.35">
      <c r="B6" s="1" t="s">
        <v>7</v>
      </c>
      <c r="C6" s="2">
        <v>491.60399999999998</v>
      </c>
      <c r="D6" s="2">
        <v>139.5</v>
      </c>
      <c r="E6" s="2">
        <v>0.12</v>
      </c>
      <c r="F6" s="2">
        <f t="shared" si="0"/>
        <v>139.62</v>
      </c>
      <c r="G6" s="9">
        <v>0.5</v>
      </c>
      <c r="S6" s="1" t="s">
        <v>2</v>
      </c>
      <c r="T6" s="2">
        <v>435.83499999999998</v>
      </c>
      <c r="U6" s="2">
        <v>142.5</v>
      </c>
      <c r="V6" s="2">
        <v>0.1</v>
      </c>
      <c r="W6" s="2">
        <f t="shared" si="1"/>
        <v>142.6</v>
      </c>
      <c r="AA6" s="1" t="s">
        <v>13</v>
      </c>
      <c r="AB6" s="3"/>
      <c r="AC6" s="3"/>
      <c r="AD6" s="3"/>
      <c r="AE6" s="2">
        <v>819</v>
      </c>
    </row>
    <row r="7" spans="2:32" x14ac:dyDescent="0.35">
      <c r="B7" s="1" t="s">
        <v>3</v>
      </c>
      <c r="C7" s="2">
        <v>546.07399999999996</v>
      </c>
      <c r="D7" s="2">
        <v>137.5</v>
      </c>
      <c r="E7" s="2">
        <v>0.3</v>
      </c>
      <c r="F7" s="2">
        <f t="shared" si="0"/>
        <v>137.80000000000001</v>
      </c>
      <c r="G7" s="9">
        <v>0.5</v>
      </c>
      <c r="S7" s="1" t="s">
        <v>7</v>
      </c>
      <c r="T7" s="2">
        <v>491.60399999999998</v>
      </c>
      <c r="U7" s="2">
        <v>139.5</v>
      </c>
      <c r="V7" s="2">
        <v>0.1</v>
      </c>
      <c r="W7" s="2">
        <f t="shared" si="1"/>
        <v>139.6</v>
      </c>
      <c r="AA7" s="1" t="s">
        <v>12</v>
      </c>
      <c r="AB7" s="2">
        <v>135</v>
      </c>
      <c r="AC7" s="2">
        <v>0.24</v>
      </c>
      <c r="AD7" s="2">
        <f>SUM(AB7,AC7)</f>
        <v>135.24</v>
      </c>
      <c r="AE7" s="2">
        <f>(AD7-163.37)/(-0.0462)</f>
        <v>608.87445887445881</v>
      </c>
      <c r="AF7">
        <f>((LN(163.204-AD7))^2 * (0.0039)^2 + 1/(0.0458)^2 * 1.9438^2)^0.5</f>
        <v>42.441050023047119</v>
      </c>
    </row>
    <row r="8" spans="2:32" x14ac:dyDescent="0.35">
      <c r="B8" s="1" t="s">
        <v>4</v>
      </c>
      <c r="C8" s="2">
        <v>576.95899999999995</v>
      </c>
      <c r="D8" s="2">
        <v>137</v>
      </c>
      <c r="E8" s="2">
        <v>0.18</v>
      </c>
      <c r="F8" s="2">
        <f t="shared" si="0"/>
        <v>137.18</v>
      </c>
      <c r="G8" s="9">
        <v>0.5</v>
      </c>
      <c r="S8" s="1" t="s">
        <v>3</v>
      </c>
      <c r="T8" s="2">
        <v>546.07399999999996</v>
      </c>
      <c r="U8" s="2">
        <v>137.5</v>
      </c>
      <c r="V8" s="2">
        <v>0.35</v>
      </c>
      <c r="W8" s="2">
        <f t="shared" si="1"/>
        <v>137.85</v>
      </c>
      <c r="AA8" s="1" t="s">
        <v>14</v>
      </c>
      <c r="AB8" s="2">
        <v>136.5</v>
      </c>
      <c r="AC8" s="2">
        <v>0.33</v>
      </c>
      <c r="AD8" s="2">
        <f>SUM(AB8,AC8)</f>
        <v>136.83000000000001</v>
      </c>
      <c r="AE8" s="2">
        <f t="shared" ref="AE8:AE17" si="2">(AD8-163.37)/(-0.0462)</f>
        <v>574.45887445887433</v>
      </c>
      <c r="AF8">
        <f t="shared" ref="AF8:AF17" si="3">((LN(163.204-AD8))^2 * (0.0039)^2 + 1/(0.0458)^2 * 1.9438^2)^0.5</f>
        <v>42.441049953780919</v>
      </c>
    </row>
    <row r="9" spans="2:32" x14ac:dyDescent="0.35">
      <c r="B9" s="1" t="s">
        <v>4</v>
      </c>
      <c r="C9" s="2">
        <v>579.06500000000005</v>
      </c>
      <c r="D9" s="2">
        <v>137</v>
      </c>
      <c r="E9" s="2">
        <v>0.12</v>
      </c>
      <c r="F9" s="2">
        <f t="shared" si="0"/>
        <v>137.12</v>
      </c>
      <c r="G9" s="9">
        <v>0.5</v>
      </c>
      <c r="S9" s="1" t="s">
        <v>4</v>
      </c>
      <c r="T9" s="2">
        <v>576.95899999999995</v>
      </c>
      <c r="U9" s="2">
        <v>137</v>
      </c>
      <c r="V9" s="2">
        <v>0.15</v>
      </c>
      <c r="W9" s="2">
        <f t="shared" si="1"/>
        <v>137.15</v>
      </c>
      <c r="AA9" s="1" t="s">
        <v>15</v>
      </c>
      <c r="AB9" s="2">
        <v>137</v>
      </c>
      <c r="AC9" s="2">
        <v>0.21</v>
      </c>
      <c r="AD9" s="2">
        <f t="shared" ref="AD9:AD17" si="4">SUM(AB9,AC9)</f>
        <v>137.21</v>
      </c>
      <c r="AE9" s="2">
        <f t="shared" si="2"/>
        <v>566.23376623376623</v>
      </c>
      <c r="AF9">
        <f t="shared" si="3"/>
        <v>42.441049936798571</v>
      </c>
    </row>
    <row r="10" spans="2:32" x14ac:dyDescent="0.35">
      <c r="S10" s="1" t="s">
        <v>4</v>
      </c>
      <c r="T10" s="2">
        <v>579.06500000000005</v>
      </c>
      <c r="U10" s="2">
        <v>137</v>
      </c>
      <c r="V10" s="2">
        <v>0.1</v>
      </c>
      <c r="W10" s="2">
        <f t="shared" si="1"/>
        <v>137.1</v>
      </c>
      <c r="AA10" s="1" t="s">
        <v>15</v>
      </c>
      <c r="AB10" s="2">
        <v>138.5</v>
      </c>
      <c r="AC10" s="2">
        <v>0.14000000000000001</v>
      </c>
      <c r="AD10" s="2">
        <f t="shared" si="4"/>
        <v>138.63999999999999</v>
      </c>
      <c r="AE10" s="2">
        <f t="shared" si="2"/>
        <v>535.28138528138572</v>
      </c>
      <c r="AF10">
        <f t="shared" si="3"/>
        <v>42.441049871307769</v>
      </c>
    </row>
    <row r="11" spans="2:32" x14ac:dyDescent="0.35">
      <c r="D11">
        <f>C3</f>
        <v>404.65499999999997</v>
      </c>
      <c r="E11">
        <f>F3</f>
        <v>145.32</v>
      </c>
      <c r="AA11" s="1" t="s">
        <v>15</v>
      </c>
      <c r="AB11" s="2">
        <v>139</v>
      </c>
      <c r="AC11" s="2">
        <v>0.17</v>
      </c>
      <c r="AD11" s="2">
        <f t="shared" si="4"/>
        <v>139.16999999999999</v>
      </c>
      <c r="AE11" s="2">
        <f t="shared" si="2"/>
        <v>523.80952380952419</v>
      </c>
      <c r="AF11">
        <f t="shared" si="3"/>
        <v>42.441049846368159</v>
      </c>
    </row>
    <row r="12" spans="2:32" x14ac:dyDescent="0.35">
      <c r="D12">
        <f t="shared" ref="D12:D17" si="5">C4</f>
        <v>407.78100000000001</v>
      </c>
      <c r="E12">
        <f t="shared" ref="E12:E17" si="6">F4</f>
        <v>144.87</v>
      </c>
      <c r="AA12" s="1" t="s">
        <v>16</v>
      </c>
      <c r="AB12" s="2">
        <v>140</v>
      </c>
      <c r="AC12" s="2">
        <v>0.22</v>
      </c>
      <c r="AD12" s="2">
        <f t="shared" si="4"/>
        <v>140.22</v>
      </c>
      <c r="AE12" s="2">
        <f t="shared" si="2"/>
        <v>501.08225108225122</v>
      </c>
      <c r="AF12">
        <f t="shared" si="3"/>
        <v>42.441049795824874</v>
      </c>
    </row>
    <row r="13" spans="2:32" x14ac:dyDescent="0.35">
      <c r="D13">
        <f t="shared" si="5"/>
        <v>435.83499999999998</v>
      </c>
      <c r="E13">
        <f t="shared" si="6"/>
        <v>142.55000000000001</v>
      </c>
      <c r="AA13" s="1" t="s">
        <v>2</v>
      </c>
      <c r="AB13" s="2">
        <v>140.5</v>
      </c>
      <c r="AC13" s="2">
        <v>0.11</v>
      </c>
      <c r="AD13" s="2">
        <f t="shared" si="4"/>
        <v>140.61000000000001</v>
      </c>
      <c r="AE13" s="2">
        <f t="shared" si="2"/>
        <v>492.64069264069246</v>
      </c>
      <c r="AF13">
        <f t="shared" si="3"/>
        <v>42.44104977665075</v>
      </c>
    </row>
    <row r="14" spans="2:32" x14ac:dyDescent="0.35">
      <c r="D14">
        <f t="shared" si="5"/>
        <v>491.60399999999998</v>
      </c>
      <c r="E14">
        <f t="shared" si="6"/>
        <v>139.62</v>
      </c>
      <c r="AA14" s="1" t="s">
        <v>17</v>
      </c>
      <c r="AB14" s="2">
        <v>141</v>
      </c>
      <c r="AC14" s="2">
        <v>0.4</v>
      </c>
      <c r="AD14" s="2">
        <f t="shared" si="4"/>
        <v>141.4</v>
      </c>
      <c r="AE14" s="2">
        <f t="shared" si="2"/>
        <v>475.54112554112555</v>
      </c>
      <c r="AF14">
        <f t="shared" si="3"/>
        <v>42.44104973711147</v>
      </c>
    </row>
    <row r="15" spans="2:32" x14ac:dyDescent="0.35">
      <c r="D15">
        <f t="shared" si="5"/>
        <v>546.07399999999996</v>
      </c>
      <c r="E15">
        <f t="shared" si="6"/>
        <v>137.80000000000001</v>
      </c>
      <c r="AA15" s="1" t="s">
        <v>17</v>
      </c>
      <c r="AB15" s="2">
        <v>142.5</v>
      </c>
      <c r="AC15" s="2">
        <v>0.06</v>
      </c>
      <c r="AD15" s="2">
        <f t="shared" si="4"/>
        <v>142.56</v>
      </c>
      <c r="AE15" s="2">
        <f t="shared" si="2"/>
        <v>450.43290043290051</v>
      </c>
      <c r="AF15">
        <f t="shared" si="3"/>
        <v>42.441049677262185</v>
      </c>
    </row>
    <row r="16" spans="2:32" x14ac:dyDescent="0.35">
      <c r="D16">
        <f t="shared" si="5"/>
        <v>576.95899999999995</v>
      </c>
      <c r="E16">
        <f t="shared" si="6"/>
        <v>137.18</v>
      </c>
      <c r="AA16" s="1" t="s">
        <v>17</v>
      </c>
      <c r="AB16" s="2">
        <v>143</v>
      </c>
      <c r="AC16" s="2">
        <v>0.09</v>
      </c>
      <c r="AD16" s="2">
        <f t="shared" si="4"/>
        <v>143.09</v>
      </c>
      <c r="AE16" s="2">
        <f t="shared" si="2"/>
        <v>438.96103896103898</v>
      </c>
      <c r="AF16">
        <f t="shared" si="3"/>
        <v>42.441049649164903</v>
      </c>
    </row>
    <row r="17" spans="2:32" x14ac:dyDescent="0.35">
      <c r="D17">
        <f t="shared" si="5"/>
        <v>579.06500000000005</v>
      </c>
      <c r="E17">
        <f t="shared" si="6"/>
        <v>137.12</v>
      </c>
      <c r="AA17" s="1" t="s">
        <v>17</v>
      </c>
      <c r="AB17" s="2">
        <v>143.5</v>
      </c>
      <c r="AC17" s="2">
        <v>0.06</v>
      </c>
      <c r="AD17" s="2">
        <f t="shared" si="4"/>
        <v>143.56</v>
      </c>
      <c r="AE17" s="2">
        <f t="shared" si="2"/>
        <v>428.78787878787887</v>
      </c>
      <c r="AF17">
        <f t="shared" si="3"/>
        <v>42.441049623832349</v>
      </c>
    </row>
    <row r="18" spans="2:32" x14ac:dyDescent="0.35">
      <c r="AA18" s="1" t="s">
        <v>18</v>
      </c>
      <c r="AB18" s="3"/>
      <c r="AC18" s="3"/>
      <c r="AD18" s="3"/>
      <c r="AE18" s="2">
        <v>330.24</v>
      </c>
    </row>
    <row r="19" spans="2:32" x14ac:dyDescent="0.35">
      <c r="AA19" s="1" t="s">
        <v>18</v>
      </c>
      <c r="AB19" s="3"/>
      <c r="AC19" s="3"/>
      <c r="AD19" s="3"/>
      <c r="AE19" s="2">
        <v>285.27999999999997</v>
      </c>
    </row>
    <row r="20" spans="2:32" x14ac:dyDescent="0.35">
      <c r="AA20" s="1" t="s">
        <v>18</v>
      </c>
      <c r="AB20" s="3"/>
      <c r="AC20" s="3"/>
      <c r="AD20" s="3"/>
      <c r="AE20" s="2">
        <v>268.04000000000002</v>
      </c>
    </row>
    <row r="21" spans="2:32" x14ac:dyDescent="0.35">
      <c r="AA21" s="17" t="s">
        <v>20</v>
      </c>
      <c r="AB21" s="17"/>
      <c r="AC21" s="17"/>
      <c r="AD21" s="17"/>
      <c r="AE21" s="17"/>
    </row>
    <row r="22" spans="2:32" x14ac:dyDescent="0.35">
      <c r="AA22" s="1" t="s">
        <v>0</v>
      </c>
      <c r="AB22" s="1" t="s">
        <v>9</v>
      </c>
      <c r="AC22" s="1" t="s">
        <v>10</v>
      </c>
      <c r="AD22" s="1" t="s">
        <v>1</v>
      </c>
      <c r="AE22" s="1" t="s">
        <v>11</v>
      </c>
    </row>
    <row r="23" spans="2:32" x14ac:dyDescent="0.35">
      <c r="B23" s="16" t="s">
        <v>43</v>
      </c>
      <c r="C23" s="16"/>
      <c r="D23" s="16"/>
      <c r="E23" s="16"/>
      <c r="F23" s="16"/>
      <c r="AA23" s="1" t="s">
        <v>13</v>
      </c>
      <c r="AB23" s="3"/>
      <c r="AC23" s="3"/>
      <c r="AD23" s="3"/>
      <c r="AE23" s="2">
        <v>1139</v>
      </c>
    </row>
    <row r="24" spans="2:32" x14ac:dyDescent="0.35">
      <c r="B24" s="1" t="s">
        <v>0</v>
      </c>
      <c r="C24" s="1" t="s">
        <v>9</v>
      </c>
      <c r="D24" s="1" t="s">
        <v>10</v>
      </c>
      <c r="E24" s="1" t="s">
        <v>1</v>
      </c>
      <c r="F24" s="1" t="s">
        <v>11</v>
      </c>
      <c r="AA24" s="1" t="s">
        <v>13</v>
      </c>
      <c r="AB24" s="3"/>
      <c r="AC24" s="3"/>
      <c r="AD24" s="3"/>
      <c r="AE24" s="2">
        <v>819</v>
      </c>
    </row>
    <row r="25" spans="2:32" x14ac:dyDescent="0.35">
      <c r="B25" s="1" t="s">
        <v>13</v>
      </c>
      <c r="C25" s="3"/>
      <c r="D25" s="3"/>
      <c r="E25" s="3"/>
      <c r="F25" s="2">
        <v>1139</v>
      </c>
      <c r="AA25" s="1" t="s">
        <v>12</v>
      </c>
      <c r="AB25" s="2">
        <v>136</v>
      </c>
      <c r="AC25" s="2">
        <v>0.39</v>
      </c>
      <c r="AD25" s="2">
        <f>SUM(AB25,AC25)</f>
        <v>136.38999999999999</v>
      </c>
      <c r="AE25" s="2">
        <f>(AD25-163.37)/(-0.0462)</f>
        <v>583.98268398268442</v>
      </c>
      <c r="AF25">
        <f>((LN(163.204-AD25))^2 * (0.0039)^2 + 1/(0.0458)^2 * 1.9438^2)^0.5</f>
        <v>42.441049973233717</v>
      </c>
    </row>
    <row r="26" spans="2:32" x14ac:dyDescent="0.35">
      <c r="B26" s="1" t="s">
        <v>13</v>
      </c>
      <c r="C26" s="3"/>
      <c r="D26" s="3"/>
      <c r="E26" s="3"/>
      <c r="F26" s="2">
        <v>819</v>
      </c>
      <c r="AA26" s="1" t="s">
        <v>14</v>
      </c>
      <c r="AB26" s="2">
        <v>136.5</v>
      </c>
      <c r="AC26" s="2">
        <v>0.36</v>
      </c>
      <c r="AD26" s="2">
        <f>SUM(AB26,AC26)</f>
        <v>136.86000000000001</v>
      </c>
      <c r="AE26" s="2">
        <f t="shared" ref="AE26:AE35" si="7">(AD26-163.37)/(-0.0462)</f>
        <v>573.80952380952363</v>
      </c>
      <c r="AF26">
        <f t="shared" ref="AF26:AF35" si="8">((LN(163.204-AD26))^2 * (0.0039)^2 + 1/(0.0458)^2 * 1.9438^2)^0.5</f>
        <v>42.441049952446406</v>
      </c>
    </row>
    <row r="27" spans="2:32" x14ac:dyDescent="0.35">
      <c r="B27" s="1" t="s">
        <v>12</v>
      </c>
      <c r="C27" s="2">
        <v>136.5</v>
      </c>
      <c r="D27" s="2">
        <v>0.08</v>
      </c>
      <c r="E27" s="2">
        <f>SUM(C27,D27)</f>
        <v>136.58000000000001</v>
      </c>
      <c r="F27" s="2">
        <f t="shared" ref="F27:F37" si="9">(E27-163.1)/(-0.0457)</f>
        <v>580.30634573304121</v>
      </c>
      <c r="G27">
        <f t="shared" ref="G27:G37" si="10">((LN(162.87-E27))^2 * (0.004)^2 + 1/(0.0452)^2 * 1.9499^2)^0.5</f>
        <v>43.139382512938695</v>
      </c>
      <c r="AA27" s="1" t="s">
        <v>15</v>
      </c>
      <c r="AB27" s="2">
        <v>137</v>
      </c>
      <c r="AC27" s="2">
        <v>0.31</v>
      </c>
      <c r="AD27" s="2">
        <f t="shared" ref="AD27:AD35" si="11">SUM(AB27,AC27)</f>
        <v>137.31</v>
      </c>
      <c r="AE27" s="2">
        <f t="shared" si="7"/>
        <v>564.06926406926414</v>
      </c>
      <c r="AF27">
        <f t="shared" si="8"/>
        <v>42.441049932300949</v>
      </c>
    </row>
    <row r="28" spans="2:32" x14ac:dyDescent="0.35">
      <c r="B28" s="1" t="s">
        <v>14</v>
      </c>
      <c r="C28" s="2">
        <v>137</v>
      </c>
      <c r="D28" s="2">
        <v>0.1</v>
      </c>
      <c r="E28" s="2">
        <f>SUM(C28,D28)</f>
        <v>137.1</v>
      </c>
      <c r="F28" s="2">
        <f t="shared" si="9"/>
        <v>568.92778993435456</v>
      </c>
      <c r="G28">
        <f t="shared" si="10"/>
        <v>43.139382488789614</v>
      </c>
      <c r="K28" s="16" t="s">
        <v>22</v>
      </c>
      <c r="L28" s="16"/>
      <c r="M28" s="16"/>
      <c r="N28" s="16"/>
      <c r="O28" s="16"/>
      <c r="P28" s="16"/>
      <c r="S28" s="16" t="s">
        <v>24</v>
      </c>
      <c r="T28" s="16"/>
      <c r="U28" s="16"/>
      <c r="V28" s="16"/>
      <c r="AA28" s="1" t="s">
        <v>15</v>
      </c>
      <c r="AB28" s="2">
        <v>138.5</v>
      </c>
      <c r="AC28" s="2">
        <v>0.19</v>
      </c>
      <c r="AD28" s="2">
        <f t="shared" si="11"/>
        <v>138.69</v>
      </c>
      <c r="AE28" s="2">
        <f t="shared" si="7"/>
        <v>534.19913419913439</v>
      </c>
      <c r="AF28">
        <f t="shared" si="8"/>
        <v>42.441049868970858</v>
      </c>
    </row>
    <row r="29" spans="2:32" x14ac:dyDescent="0.35">
      <c r="B29" s="1" t="s">
        <v>15</v>
      </c>
      <c r="C29" s="2">
        <v>137.5</v>
      </c>
      <c r="D29" s="2">
        <v>0.5</v>
      </c>
      <c r="E29" s="2">
        <f t="shared" ref="E29:E37" si="12">SUM(C29,D29)</f>
        <v>138</v>
      </c>
      <c r="F29" s="2">
        <f t="shared" si="9"/>
        <v>549.234135667396</v>
      </c>
      <c r="G29">
        <f t="shared" si="10"/>
        <v>43.139382446184058</v>
      </c>
      <c r="K29" s="1" t="s">
        <v>21</v>
      </c>
      <c r="L29" s="1">
        <v>1</v>
      </c>
      <c r="M29" s="1">
        <v>2</v>
      </c>
      <c r="N29" s="1">
        <v>3</v>
      </c>
      <c r="O29" s="1" t="s">
        <v>23</v>
      </c>
      <c r="P29" s="1" t="s">
        <v>103</v>
      </c>
      <c r="S29" s="1" t="s">
        <v>0</v>
      </c>
      <c r="T29" s="1" t="s">
        <v>25</v>
      </c>
      <c r="U29" s="1" t="s">
        <v>41</v>
      </c>
      <c r="V29" s="1" t="s">
        <v>47</v>
      </c>
      <c r="AA29" s="1" t="s">
        <v>15</v>
      </c>
      <c r="AB29" s="2">
        <v>139</v>
      </c>
      <c r="AC29" s="2">
        <v>0.28000000000000003</v>
      </c>
      <c r="AD29" s="2">
        <f t="shared" si="11"/>
        <v>139.28</v>
      </c>
      <c r="AE29" s="2">
        <f t="shared" si="7"/>
        <v>521.42857142857156</v>
      </c>
      <c r="AF29">
        <f t="shared" si="8"/>
        <v>42.441049841144839</v>
      </c>
    </row>
    <row r="30" spans="2:32" x14ac:dyDescent="0.35">
      <c r="B30" s="1" t="s">
        <v>15</v>
      </c>
      <c r="C30" s="2">
        <v>139</v>
      </c>
      <c r="D30" s="2">
        <v>0.01</v>
      </c>
      <c r="E30" s="2">
        <f t="shared" si="12"/>
        <v>139.01</v>
      </c>
      <c r="F30" s="2">
        <f t="shared" si="9"/>
        <v>527.13347921225397</v>
      </c>
      <c r="G30">
        <f t="shared" si="10"/>
        <v>43.139382397087282</v>
      </c>
      <c r="K30" s="1" t="s">
        <v>13</v>
      </c>
      <c r="L30" s="4">
        <f>F25</f>
        <v>1139</v>
      </c>
      <c r="M30" s="4">
        <f>AE5</f>
        <v>1139</v>
      </c>
      <c r="N30" s="4">
        <f>AE23</f>
        <v>1139</v>
      </c>
      <c r="O30" s="4">
        <f>AVERAGE(L30:N30)</f>
        <v>1139</v>
      </c>
      <c r="P30" s="4">
        <f>SQRT((G70)^2 +(K70)^2 + (K117)^2)/3</f>
        <v>0</v>
      </c>
      <c r="S30" s="1" t="s">
        <v>13</v>
      </c>
      <c r="T30" s="4" t="s">
        <v>42</v>
      </c>
      <c r="U30" s="4">
        <f>((3*10^8)*(6.62607015*10^(-34)))/(O30*10^-9)</f>
        <v>1.745233577699737E-19</v>
      </c>
      <c r="V30" s="4">
        <f>U30*6.242*10^18</f>
        <v>1.0893747992001759</v>
      </c>
      <c r="AA30" s="1" t="s">
        <v>16</v>
      </c>
      <c r="AB30" s="2">
        <v>140</v>
      </c>
      <c r="AC30" s="2">
        <v>0.22</v>
      </c>
      <c r="AD30" s="2">
        <f t="shared" si="11"/>
        <v>140.22</v>
      </c>
      <c r="AE30" s="2">
        <f t="shared" si="7"/>
        <v>501.08225108225122</v>
      </c>
      <c r="AF30">
        <f t="shared" si="8"/>
        <v>42.441049795824874</v>
      </c>
    </row>
    <row r="31" spans="2:32" x14ac:dyDescent="0.35">
      <c r="B31" s="1" t="s">
        <v>15</v>
      </c>
      <c r="C31" s="2">
        <v>139.5</v>
      </c>
      <c r="D31" s="2">
        <v>0.15</v>
      </c>
      <c r="E31" s="2">
        <f t="shared" si="12"/>
        <v>139.65</v>
      </c>
      <c r="F31" s="2">
        <f t="shared" si="9"/>
        <v>513.12910284463874</v>
      </c>
      <c r="G31">
        <f t="shared" si="10"/>
        <v>43.13938236523488</v>
      </c>
      <c r="K31" s="1" t="s">
        <v>13</v>
      </c>
      <c r="L31" s="4">
        <f t="shared" ref="L31:L45" si="13">F26</f>
        <v>819</v>
      </c>
      <c r="M31" s="4">
        <f t="shared" ref="M31:M45" si="14">AE6</f>
        <v>819</v>
      </c>
      <c r="N31" s="4">
        <f t="shared" ref="N31:N45" si="15">AE24</f>
        <v>819</v>
      </c>
      <c r="O31" s="4">
        <f t="shared" ref="O31:O45" si="16">AVERAGE(L31:N31)</f>
        <v>819</v>
      </c>
      <c r="P31" s="4">
        <f>SQRT((G71)^2 +(K71)^2 + (K118)^2)/3</f>
        <v>0</v>
      </c>
      <c r="S31" s="1" t="s">
        <v>13</v>
      </c>
      <c r="T31" s="4" t="s">
        <v>26</v>
      </c>
      <c r="U31" s="4">
        <f t="shared" ref="U31:U45" si="17">((3*10^8)*(6.62607015*10^(-34)))/(O31*10^-9)</f>
        <v>2.4271319230769235E-19</v>
      </c>
      <c r="V31" s="4">
        <f t="shared" ref="V31:V45" si="18">U31*6.242*10^18</f>
        <v>1.5150157463846157</v>
      </c>
      <c r="AA31" s="1" t="s">
        <v>2</v>
      </c>
      <c r="AB31" s="2">
        <v>140.5</v>
      </c>
      <c r="AC31" s="2">
        <v>0.15</v>
      </c>
      <c r="AD31" s="2">
        <f t="shared" si="11"/>
        <v>140.65</v>
      </c>
      <c r="AE31" s="2">
        <f t="shared" si="7"/>
        <v>491.77489177489178</v>
      </c>
      <c r="AF31">
        <f t="shared" si="8"/>
        <v>42.441049774671491</v>
      </c>
    </row>
    <row r="32" spans="2:32" x14ac:dyDescent="0.35">
      <c r="B32" s="1" t="s">
        <v>16</v>
      </c>
      <c r="C32" s="2">
        <v>140.5</v>
      </c>
      <c r="D32" s="2">
        <v>0.12</v>
      </c>
      <c r="E32" s="2">
        <f t="shared" si="12"/>
        <v>140.62</v>
      </c>
      <c r="F32" s="2">
        <f t="shared" si="9"/>
        <v>491.90371991247247</v>
      </c>
      <c r="G32">
        <f t="shared" si="10"/>
        <v>43.139382315797555</v>
      </c>
      <c r="K32" s="1" t="s">
        <v>12</v>
      </c>
      <c r="L32" s="2">
        <f t="shared" si="13"/>
        <v>580.30634573304121</v>
      </c>
      <c r="M32" s="2">
        <f t="shared" si="14"/>
        <v>608.87445887445881</v>
      </c>
      <c r="N32" s="2">
        <f t="shared" si="15"/>
        <v>583.98268398268442</v>
      </c>
      <c r="O32" s="2">
        <f t="shared" si="16"/>
        <v>591.05449619672811</v>
      </c>
      <c r="P32" s="2">
        <f>SQRT((G72)^2 +(K72)^2 + (K119)^2)/3</f>
        <v>24.638478879560523</v>
      </c>
      <c r="S32" s="1" t="s">
        <v>12</v>
      </c>
      <c r="T32" s="2" t="s">
        <v>27</v>
      </c>
      <c r="U32" s="2">
        <f t="shared" si="17"/>
        <v>3.3631772667174994E-19</v>
      </c>
      <c r="V32" s="2">
        <f t="shared" si="18"/>
        <v>2.0992952498850634</v>
      </c>
      <c r="AA32" s="1" t="s">
        <v>17</v>
      </c>
      <c r="AB32" s="2">
        <v>141</v>
      </c>
      <c r="AC32" s="2">
        <v>0.45</v>
      </c>
      <c r="AD32" s="2">
        <f t="shared" si="11"/>
        <v>141.44999999999999</v>
      </c>
      <c r="AE32" s="2">
        <f t="shared" si="7"/>
        <v>474.45887445887485</v>
      </c>
      <c r="AF32">
        <f t="shared" si="8"/>
        <v>42.44104973457658</v>
      </c>
    </row>
    <row r="33" spans="2:32" x14ac:dyDescent="0.35">
      <c r="B33" s="1" t="s">
        <v>2</v>
      </c>
      <c r="C33" s="2">
        <v>141</v>
      </c>
      <c r="D33" s="2">
        <v>0.1</v>
      </c>
      <c r="E33" s="2">
        <f t="shared" si="12"/>
        <v>141.1</v>
      </c>
      <c r="F33" s="2">
        <f t="shared" si="9"/>
        <v>481.40043763676152</v>
      </c>
      <c r="G33">
        <f t="shared" si="10"/>
        <v>43.139382290791509</v>
      </c>
      <c r="K33" s="1" t="s">
        <v>14</v>
      </c>
      <c r="L33" s="2">
        <f t="shared" si="13"/>
        <v>568.92778993435456</v>
      </c>
      <c r="M33" s="2">
        <f t="shared" si="14"/>
        <v>574.45887445887433</v>
      </c>
      <c r="N33" s="2">
        <f t="shared" si="15"/>
        <v>573.80952380952363</v>
      </c>
      <c r="O33" s="2">
        <f t="shared" si="16"/>
        <v>572.39872940091743</v>
      </c>
      <c r="P33" s="2">
        <f>SQRT((G73)^2 +(K73)^2 + (K120)^2)/3</f>
        <v>24.638478857626712</v>
      </c>
      <c r="S33" s="1" t="s">
        <v>14</v>
      </c>
      <c r="T33" s="2" t="s">
        <v>28</v>
      </c>
      <c r="U33" s="2">
        <f t="shared" si="17"/>
        <v>3.4727908062977161E-19</v>
      </c>
      <c r="V33" s="2">
        <f t="shared" si="18"/>
        <v>2.1677160212910347</v>
      </c>
      <c r="AA33" s="1" t="s">
        <v>17</v>
      </c>
      <c r="AB33" s="2">
        <v>142.5</v>
      </c>
      <c r="AC33" s="2">
        <v>0.08</v>
      </c>
      <c r="AD33" s="2">
        <f t="shared" si="11"/>
        <v>142.58000000000001</v>
      </c>
      <c r="AE33" s="2">
        <f t="shared" si="7"/>
        <v>449.99999999999983</v>
      </c>
      <c r="AF33">
        <f t="shared" si="8"/>
        <v>42.441049676210724</v>
      </c>
    </row>
    <row r="34" spans="2:32" x14ac:dyDescent="0.35">
      <c r="B34" s="1" t="s">
        <v>17</v>
      </c>
      <c r="C34" s="2">
        <v>142</v>
      </c>
      <c r="D34" s="2">
        <v>0.01</v>
      </c>
      <c r="E34" s="2">
        <f t="shared" si="12"/>
        <v>142.01</v>
      </c>
      <c r="F34" s="2">
        <f t="shared" si="9"/>
        <v>461.48796498905921</v>
      </c>
      <c r="G34">
        <f t="shared" si="10"/>
        <v>43.139382242343764</v>
      </c>
      <c r="K34" s="1" t="s">
        <v>15</v>
      </c>
      <c r="L34" s="2">
        <f t="shared" si="13"/>
        <v>549.234135667396</v>
      </c>
      <c r="M34" s="2">
        <f t="shared" si="14"/>
        <v>566.23376623376623</v>
      </c>
      <c r="N34" s="2">
        <f t="shared" si="15"/>
        <v>564.06926406926414</v>
      </c>
      <c r="O34" s="2">
        <f t="shared" si="16"/>
        <v>559.84572199014212</v>
      </c>
      <c r="P34" s="2">
        <f>SQRT((G74)^2 +(K74)^2 + (K121)^2)/3</f>
        <v>24.638478842232001</v>
      </c>
      <c r="S34" s="1" t="s">
        <v>15</v>
      </c>
      <c r="T34" s="2" t="s">
        <v>29</v>
      </c>
      <c r="U34" s="2">
        <f t="shared" si="17"/>
        <v>3.550658631334513E-19</v>
      </c>
      <c r="V34" s="2">
        <f t="shared" si="18"/>
        <v>2.2163211176790032</v>
      </c>
      <c r="AA34" s="1" t="s">
        <v>17</v>
      </c>
      <c r="AB34" s="2">
        <v>143</v>
      </c>
      <c r="AC34" s="2">
        <v>0.12</v>
      </c>
      <c r="AD34" s="2">
        <f t="shared" si="11"/>
        <v>143.12</v>
      </c>
      <c r="AE34" s="2">
        <f t="shared" si="7"/>
        <v>438.31168831168833</v>
      </c>
      <c r="AF34">
        <f t="shared" si="8"/>
        <v>42.44104964755978</v>
      </c>
    </row>
    <row r="35" spans="2:32" x14ac:dyDescent="0.35">
      <c r="B35" s="1" t="s">
        <v>17</v>
      </c>
      <c r="C35" s="2">
        <v>143</v>
      </c>
      <c r="D35" s="2">
        <v>0.28999999999999998</v>
      </c>
      <c r="E35" s="2">
        <f t="shared" si="12"/>
        <v>143.29</v>
      </c>
      <c r="F35" s="2">
        <f t="shared" si="9"/>
        <v>433.47921225382942</v>
      </c>
      <c r="G35">
        <f t="shared" si="10"/>
        <v>43.139382171739058</v>
      </c>
      <c r="K35" s="1" t="s">
        <v>15</v>
      </c>
      <c r="L35" s="2">
        <f t="shared" si="13"/>
        <v>527.13347921225397</v>
      </c>
      <c r="M35" s="2">
        <f t="shared" si="14"/>
        <v>535.28138528138572</v>
      </c>
      <c r="N35" s="2">
        <f t="shared" si="15"/>
        <v>534.19913419913439</v>
      </c>
      <c r="O35" s="2">
        <f t="shared" si="16"/>
        <v>532.20466623092477</v>
      </c>
      <c r="P35" s="2">
        <f>SQRT((G75)^2 +(K75)^2 + (K122)^2)/3</f>
        <v>24.6384788080249</v>
      </c>
      <c r="S35" s="1" t="s">
        <v>15</v>
      </c>
      <c r="T35" s="2" t="s">
        <v>30</v>
      </c>
      <c r="U35" s="2">
        <f t="shared" si="17"/>
        <v>3.7350688017783751E-19</v>
      </c>
      <c r="V35" s="2">
        <f t="shared" si="18"/>
        <v>2.3314299460700618</v>
      </c>
      <c r="AA35" s="1" t="s">
        <v>17</v>
      </c>
      <c r="AB35" s="2">
        <v>143.5</v>
      </c>
      <c r="AC35" s="2">
        <v>0.15</v>
      </c>
      <c r="AD35" s="2">
        <f t="shared" si="11"/>
        <v>143.65</v>
      </c>
      <c r="AE35" s="2">
        <f t="shared" si="7"/>
        <v>426.83982683982686</v>
      </c>
      <c r="AF35">
        <f t="shared" si="8"/>
        <v>42.441049618935594</v>
      </c>
    </row>
    <row r="36" spans="2:32" x14ac:dyDescent="0.35">
      <c r="B36" s="1" t="s">
        <v>17</v>
      </c>
      <c r="C36" s="2">
        <v>143.5</v>
      </c>
      <c r="D36" s="2">
        <v>0.36</v>
      </c>
      <c r="E36" s="2">
        <f t="shared" si="12"/>
        <v>143.86000000000001</v>
      </c>
      <c r="F36" s="2">
        <f t="shared" si="9"/>
        <v>421.00656455142195</v>
      </c>
      <c r="G36">
        <f t="shared" si="10"/>
        <v>43.139382139308019</v>
      </c>
      <c r="K36" s="1" t="s">
        <v>15</v>
      </c>
      <c r="L36" s="2">
        <f t="shared" si="13"/>
        <v>513.12910284463874</v>
      </c>
      <c r="M36" s="2">
        <f t="shared" si="14"/>
        <v>523.80952380952419</v>
      </c>
      <c r="N36" s="2">
        <f t="shared" si="15"/>
        <v>521.42857142857156</v>
      </c>
      <c r="O36" s="2">
        <f t="shared" si="16"/>
        <v>519.45573269424483</v>
      </c>
      <c r="P36" s="2">
        <f>SQRT((G76)^2 +(K76)^2 + (K123)^2)/3</f>
        <v>24.638478791729153</v>
      </c>
      <c r="S36" s="1" t="s">
        <v>15</v>
      </c>
      <c r="T36" s="2" t="s">
        <v>31</v>
      </c>
      <c r="U36" s="2">
        <f t="shared" si="17"/>
        <v>3.8267381027635043E-19</v>
      </c>
      <c r="V36" s="2">
        <f t="shared" si="18"/>
        <v>2.3886499237449792</v>
      </c>
      <c r="AA36" s="1" t="s">
        <v>18</v>
      </c>
      <c r="AB36" s="3"/>
      <c r="AC36" s="3"/>
      <c r="AD36" s="3"/>
      <c r="AE36" s="2">
        <v>330.24</v>
      </c>
    </row>
    <row r="37" spans="2:32" x14ac:dyDescent="0.35">
      <c r="B37" s="1" t="s">
        <v>17</v>
      </c>
      <c r="C37" s="2">
        <v>144.5</v>
      </c>
      <c r="D37" s="2">
        <v>0.01</v>
      </c>
      <c r="E37" s="2">
        <f t="shared" si="12"/>
        <v>144.51</v>
      </c>
      <c r="F37" s="2">
        <f t="shared" si="9"/>
        <v>406.78336980306358</v>
      </c>
      <c r="G37">
        <f t="shared" si="10"/>
        <v>43.139382101531893</v>
      </c>
      <c r="K37" s="1" t="s">
        <v>16</v>
      </c>
      <c r="L37" s="2">
        <f t="shared" si="13"/>
        <v>491.90371991247247</v>
      </c>
      <c r="M37" s="2">
        <f t="shared" si="14"/>
        <v>501.08225108225122</v>
      </c>
      <c r="N37" s="2">
        <f t="shared" si="15"/>
        <v>501.08225108225122</v>
      </c>
      <c r="O37" s="2">
        <f t="shared" si="16"/>
        <v>498.02274069232499</v>
      </c>
      <c r="P37" s="2">
        <f>SQRT((G77)^2 +(K77)^2 + (K124)^2)/3</f>
        <v>24.638478763763715</v>
      </c>
      <c r="S37" s="1" t="s">
        <v>16</v>
      </c>
      <c r="T37" s="2" t="s">
        <v>32</v>
      </c>
      <c r="U37" s="2">
        <f t="shared" si="17"/>
        <v>3.9914262594447725E-19</v>
      </c>
      <c r="V37" s="2">
        <f t="shared" si="18"/>
        <v>2.4914482711454271</v>
      </c>
      <c r="AA37" s="1" t="s">
        <v>18</v>
      </c>
      <c r="AB37" s="3"/>
      <c r="AC37" s="3"/>
      <c r="AD37" s="3"/>
      <c r="AE37" s="2">
        <v>285.27999999999997</v>
      </c>
    </row>
    <row r="38" spans="2:32" x14ac:dyDescent="0.35">
      <c r="B38" s="1" t="s">
        <v>18</v>
      </c>
      <c r="C38" s="3"/>
      <c r="D38" s="3"/>
      <c r="E38" s="3"/>
      <c r="F38" s="2">
        <v>330.24</v>
      </c>
      <c r="K38" s="1" t="s">
        <v>2</v>
      </c>
      <c r="L38" s="2">
        <f t="shared" si="13"/>
        <v>481.40043763676152</v>
      </c>
      <c r="M38" s="2">
        <f t="shared" si="14"/>
        <v>492.64069264069246</v>
      </c>
      <c r="N38" s="2">
        <f t="shared" si="15"/>
        <v>491.77489177489178</v>
      </c>
      <c r="O38" s="2">
        <f t="shared" si="16"/>
        <v>488.60534068411522</v>
      </c>
      <c r="P38" s="2">
        <f>SQRT((G78)^2 +(K78)^2 + (K125)^2)/3</f>
        <v>24.638478751180475</v>
      </c>
      <c r="S38" s="1" t="s">
        <v>2</v>
      </c>
      <c r="T38" s="2" t="s">
        <v>33</v>
      </c>
      <c r="U38" s="2">
        <f t="shared" si="17"/>
        <v>4.0683571780381596E-19</v>
      </c>
      <c r="V38" s="2">
        <f t="shared" si="18"/>
        <v>2.5394685505314194</v>
      </c>
      <c r="AA38" s="1" t="s">
        <v>18</v>
      </c>
      <c r="AB38" s="3"/>
      <c r="AC38" s="3"/>
      <c r="AD38" s="3"/>
      <c r="AE38" s="2">
        <v>268.04000000000002</v>
      </c>
    </row>
    <row r="39" spans="2:32" x14ac:dyDescent="0.35">
      <c r="B39" s="1" t="s">
        <v>18</v>
      </c>
      <c r="C39" s="3"/>
      <c r="D39" s="3"/>
      <c r="E39" s="3"/>
      <c r="F39" s="2">
        <v>285.27999999999997</v>
      </c>
      <c r="K39" s="1" t="s">
        <v>17</v>
      </c>
      <c r="L39" s="2">
        <f t="shared" si="13"/>
        <v>461.48796498905921</v>
      </c>
      <c r="M39" s="2">
        <f t="shared" si="14"/>
        <v>475.54112554112555</v>
      </c>
      <c r="N39" s="2">
        <f t="shared" si="15"/>
        <v>474.45887445887485</v>
      </c>
      <c r="O39" s="2">
        <f t="shared" si="16"/>
        <v>470.4959883296865</v>
      </c>
      <c r="P39" s="2">
        <f>SQRT((G79)^2 +(K79)^2 + (K126)^2)/3</f>
        <v>24.638478726513707</v>
      </c>
      <c r="S39" s="1" t="s">
        <v>17</v>
      </c>
      <c r="T39" s="2" t="s">
        <v>34</v>
      </c>
      <c r="U39" s="2">
        <f t="shared" si="17"/>
        <v>4.2249479151926204E-19</v>
      </c>
      <c r="V39" s="2">
        <f t="shared" si="18"/>
        <v>2.6372124886632333</v>
      </c>
    </row>
    <row r="40" spans="2:32" x14ac:dyDescent="0.35">
      <c r="B40" s="1" t="s">
        <v>18</v>
      </c>
      <c r="C40" s="3"/>
      <c r="D40" s="3"/>
      <c r="E40" s="3"/>
      <c r="F40" s="2">
        <v>268.04000000000002</v>
      </c>
      <c r="K40" s="1" t="s">
        <v>17</v>
      </c>
      <c r="L40" s="2">
        <f t="shared" si="13"/>
        <v>433.47921225382942</v>
      </c>
      <c r="M40" s="2">
        <f t="shared" si="14"/>
        <v>450.43290043290051</v>
      </c>
      <c r="N40" s="2">
        <f t="shared" si="15"/>
        <v>449.99999999999983</v>
      </c>
      <c r="O40" s="2">
        <f t="shared" si="16"/>
        <v>444.63737089557657</v>
      </c>
      <c r="P40" s="2">
        <f>SQRT((G80)^2 +(K80)^2 + (K127)^2)/3</f>
        <v>24.638478690152255</v>
      </c>
      <c r="S40" s="1" t="s">
        <v>17</v>
      </c>
      <c r="T40" s="2" t="s">
        <v>35</v>
      </c>
      <c r="U40" s="2">
        <f t="shared" si="17"/>
        <v>4.470656708400792E-19</v>
      </c>
      <c r="V40" s="2">
        <f t="shared" si="18"/>
        <v>2.7905839173837741</v>
      </c>
    </row>
    <row r="41" spans="2:32" x14ac:dyDescent="0.35">
      <c r="K41" s="1" t="s">
        <v>17</v>
      </c>
      <c r="L41" s="2">
        <f t="shared" si="13"/>
        <v>421.00656455142195</v>
      </c>
      <c r="M41" s="2">
        <f t="shared" si="14"/>
        <v>438.96103896103898</v>
      </c>
      <c r="N41" s="2">
        <f t="shared" si="15"/>
        <v>438.31168831168833</v>
      </c>
      <c r="O41" s="2">
        <f t="shared" si="16"/>
        <v>432.75976394138314</v>
      </c>
      <c r="P41" s="2">
        <f>SQRT((G81)^2 +(K81)^2 + (K128)^2)/3</f>
        <v>24.638478672981691</v>
      </c>
      <c r="S41" s="1" t="s">
        <v>17</v>
      </c>
      <c r="T41" s="2" t="s">
        <v>36</v>
      </c>
      <c r="U41" s="2">
        <f t="shared" si="17"/>
        <v>4.5933592044135807E-19</v>
      </c>
      <c r="V41" s="2">
        <f t="shared" si="18"/>
        <v>2.8671748153949572</v>
      </c>
    </row>
    <row r="42" spans="2:32" x14ac:dyDescent="0.35">
      <c r="K42" s="1" t="s">
        <v>17</v>
      </c>
      <c r="L42" s="2">
        <f t="shared" si="13"/>
        <v>406.78336980306358</v>
      </c>
      <c r="M42" s="2">
        <f t="shared" si="14"/>
        <v>428.78787878787887</v>
      </c>
      <c r="N42" s="2">
        <f t="shared" si="15"/>
        <v>426.83982683982686</v>
      </c>
      <c r="O42" s="2">
        <f t="shared" si="16"/>
        <v>420.80369181025645</v>
      </c>
      <c r="P42" s="2">
        <f>SQRT((G82)^2 +(K82)^2 + (K129)^2)/3</f>
        <v>24.638478655305548</v>
      </c>
      <c r="S42" s="1" t="s">
        <v>17</v>
      </c>
      <c r="T42" s="2" t="s">
        <v>37</v>
      </c>
      <c r="U42" s="2">
        <f t="shared" si="17"/>
        <v>4.7238678834983321E-19</v>
      </c>
      <c r="V42" s="2">
        <f t="shared" si="18"/>
        <v>2.9486383328796588</v>
      </c>
    </row>
    <row r="43" spans="2:32" x14ac:dyDescent="0.35">
      <c r="K43" s="1" t="s">
        <v>18</v>
      </c>
      <c r="L43" s="4">
        <f>F38</f>
        <v>330.24</v>
      </c>
      <c r="M43" s="4">
        <f t="shared" si="14"/>
        <v>330.24</v>
      </c>
      <c r="N43" s="4">
        <f t="shared" si="15"/>
        <v>330.24</v>
      </c>
      <c r="O43" s="4">
        <f t="shared" si="16"/>
        <v>330.24</v>
      </c>
      <c r="P43" s="4">
        <f>SQRT((G83)^2 +(K83)^2 + (K130)^2)/3</f>
        <v>0</v>
      </c>
      <c r="S43" s="1" t="s">
        <v>18</v>
      </c>
      <c r="T43" s="4" t="s">
        <v>38</v>
      </c>
      <c r="U43" s="4">
        <f t="shared" si="17"/>
        <v>6.019322447311048E-19</v>
      </c>
      <c r="V43" s="4">
        <f t="shared" si="18"/>
        <v>3.7572610716115564</v>
      </c>
    </row>
    <row r="44" spans="2:32" x14ac:dyDescent="0.35">
      <c r="K44" s="1" t="s">
        <v>18</v>
      </c>
      <c r="L44" s="4">
        <f t="shared" si="13"/>
        <v>285.27999999999997</v>
      </c>
      <c r="M44" s="4">
        <f t="shared" si="14"/>
        <v>285.27999999999997</v>
      </c>
      <c r="N44" s="4">
        <f t="shared" si="15"/>
        <v>285.27999999999997</v>
      </c>
      <c r="O44" s="4">
        <f t="shared" si="16"/>
        <v>285.27999999999997</v>
      </c>
      <c r="P44" s="4">
        <f>SQRT((G84)^2 +(K84)^2 + (K131)^2)/3</f>
        <v>0</v>
      </c>
      <c r="S44" s="1" t="s">
        <v>18</v>
      </c>
      <c r="T44" s="4" t="s">
        <v>39</v>
      </c>
      <c r="U44" s="4">
        <f t="shared" si="17"/>
        <v>6.9679649642456556E-19</v>
      </c>
      <c r="V44" s="4">
        <f t="shared" si="18"/>
        <v>4.3494037306821376</v>
      </c>
    </row>
    <row r="45" spans="2:32" x14ac:dyDescent="0.35">
      <c r="K45" s="1" t="s">
        <v>18</v>
      </c>
      <c r="L45" s="4">
        <f t="shared" si="13"/>
        <v>268.04000000000002</v>
      </c>
      <c r="M45" s="4">
        <f t="shared" si="14"/>
        <v>268.04000000000002</v>
      </c>
      <c r="N45" s="4">
        <f t="shared" si="15"/>
        <v>268.04000000000002</v>
      </c>
      <c r="O45" s="4">
        <f t="shared" si="16"/>
        <v>268.04000000000002</v>
      </c>
      <c r="P45" s="4">
        <f>SQRT((G85)^2 +(K85)^2 + (K132)^2)/3</f>
        <v>0</v>
      </c>
      <c r="S45" s="1" t="s">
        <v>18</v>
      </c>
      <c r="T45" s="4" t="s">
        <v>40</v>
      </c>
      <c r="U45" s="4">
        <f t="shared" si="17"/>
        <v>7.4161358192807051E-19</v>
      </c>
      <c r="V45" s="4">
        <f t="shared" si="18"/>
        <v>4.6291519783950159</v>
      </c>
    </row>
    <row r="48" spans="2:32" x14ac:dyDescent="0.35">
      <c r="S48" s="16" t="s">
        <v>48</v>
      </c>
      <c r="T48" s="16"/>
      <c r="U48" s="16"/>
      <c r="V48" s="16"/>
    </row>
    <row r="49" spans="19:28" x14ac:dyDescent="0.35">
      <c r="S49" s="1" t="s">
        <v>50</v>
      </c>
      <c r="T49" s="13" t="s">
        <v>49</v>
      </c>
      <c r="U49" s="13"/>
      <c r="V49" s="1" t="s">
        <v>47</v>
      </c>
    </row>
    <row r="50" spans="19:28" x14ac:dyDescent="0.35">
      <c r="S50" s="1" t="s">
        <v>51</v>
      </c>
      <c r="T50" s="12" t="s">
        <v>67</v>
      </c>
      <c r="U50" s="12"/>
      <c r="V50" s="2">
        <f>-5.139+2.167716021+V30</f>
        <v>-1.8819091797998244</v>
      </c>
    </row>
    <row r="51" spans="19:28" x14ac:dyDescent="0.35">
      <c r="S51" s="1" t="s">
        <v>52</v>
      </c>
      <c r="T51" s="12" t="s">
        <v>68</v>
      </c>
      <c r="U51" s="12"/>
      <c r="V51" s="2">
        <f t="shared" ref="V51:V62" si="19">-5.139+2.167716021+V31</f>
        <v>-1.4562682326153846</v>
      </c>
    </row>
    <row r="52" spans="19:28" x14ac:dyDescent="0.35">
      <c r="S52" s="1" t="s">
        <v>53</v>
      </c>
      <c r="T52" s="12" t="s">
        <v>69</v>
      </c>
      <c r="U52" s="12"/>
      <c r="V52" s="2">
        <f t="shared" si="19"/>
        <v>-0.87198872911493686</v>
      </c>
    </row>
    <row r="53" spans="19:28" x14ac:dyDescent="0.35">
      <c r="S53" s="1" t="s">
        <v>54</v>
      </c>
      <c r="T53" s="12" t="s">
        <v>70</v>
      </c>
      <c r="U53" s="12"/>
      <c r="V53" s="2">
        <f>-5.139+2.167716021</f>
        <v>-2.9712839790000003</v>
      </c>
    </row>
    <row r="54" spans="19:28" x14ac:dyDescent="0.35">
      <c r="S54" s="1" t="s">
        <v>55</v>
      </c>
      <c r="T54" s="12" t="s">
        <v>71</v>
      </c>
      <c r="U54" s="12"/>
      <c r="V54" s="2">
        <f t="shared" si="19"/>
        <v>-0.7549628613209971</v>
      </c>
    </row>
    <row r="55" spans="19:28" x14ac:dyDescent="0.35">
      <c r="S55" s="1" t="s">
        <v>56</v>
      </c>
      <c r="T55" s="12" t="s">
        <v>72</v>
      </c>
      <c r="U55" s="12"/>
      <c r="V55" s="2">
        <f t="shared" si="19"/>
        <v>-0.63985403292993848</v>
      </c>
    </row>
    <row r="56" spans="19:28" x14ac:dyDescent="0.35">
      <c r="S56" s="1" t="s">
        <v>57</v>
      </c>
      <c r="T56" s="12" t="s">
        <v>73</v>
      </c>
      <c r="U56" s="12"/>
      <c r="V56" s="2">
        <f t="shared" si="19"/>
        <v>-0.5826340552550211</v>
      </c>
    </row>
    <row r="57" spans="19:28" x14ac:dyDescent="0.35">
      <c r="S57" s="1" t="s">
        <v>58</v>
      </c>
      <c r="T57" s="12" t="s">
        <v>74</v>
      </c>
      <c r="U57" s="12"/>
      <c r="V57" s="2">
        <f t="shared" si="19"/>
        <v>-0.47983570785457319</v>
      </c>
    </row>
    <row r="58" spans="19:28" x14ac:dyDescent="0.35">
      <c r="S58" s="1" t="s">
        <v>59</v>
      </c>
      <c r="T58" s="12" t="s">
        <v>75</v>
      </c>
      <c r="U58" s="12"/>
      <c r="V58" s="2">
        <f t="shared" si="19"/>
        <v>-0.4318154284685809</v>
      </c>
    </row>
    <row r="59" spans="19:28" x14ac:dyDescent="0.35">
      <c r="S59" s="1" t="s">
        <v>60</v>
      </c>
      <c r="T59" s="12" t="s">
        <v>76</v>
      </c>
      <c r="U59" s="12"/>
      <c r="V59" s="2">
        <f t="shared" si="19"/>
        <v>-0.33407149033676697</v>
      </c>
    </row>
    <row r="60" spans="19:28" x14ac:dyDescent="0.35">
      <c r="S60" s="1" t="s">
        <v>61</v>
      </c>
      <c r="T60" s="12" t="s">
        <v>77</v>
      </c>
      <c r="U60" s="12"/>
      <c r="V60" s="2">
        <f t="shared" si="19"/>
        <v>-0.1807000616162262</v>
      </c>
    </row>
    <row r="61" spans="19:28" ht="16.5" x14ac:dyDescent="0.45">
      <c r="S61" s="1" t="s">
        <v>62</v>
      </c>
      <c r="T61" s="12" t="s">
        <v>78</v>
      </c>
      <c r="U61" s="12"/>
      <c r="V61" s="2">
        <f t="shared" si="19"/>
        <v>-0.10410916360504308</v>
      </c>
      <c r="AA61" t="s">
        <v>89</v>
      </c>
      <c r="AB61" t="s">
        <v>90</v>
      </c>
    </row>
    <row r="62" spans="19:28" x14ac:dyDescent="0.35">
      <c r="S62" s="1" t="s">
        <v>63</v>
      </c>
      <c r="T62" s="12" t="s">
        <v>79</v>
      </c>
      <c r="U62" s="12"/>
      <c r="V62" s="2">
        <f t="shared" si="19"/>
        <v>-2.2645646120341478E-2</v>
      </c>
      <c r="AA62" t="s">
        <v>84</v>
      </c>
      <c r="AB62">
        <f>-0.2671/0.2505</f>
        <v>-1.0662674650698603</v>
      </c>
    </row>
    <row r="63" spans="19:28" x14ac:dyDescent="0.35">
      <c r="S63" s="1" t="s">
        <v>64</v>
      </c>
      <c r="T63" s="12" t="s">
        <v>80</v>
      </c>
      <c r="U63" s="12"/>
      <c r="V63" s="2">
        <f>-5.139+V43</f>
        <v>-1.3817389283884438</v>
      </c>
      <c r="AA63" t="s">
        <v>85</v>
      </c>
      <c r="AB63">
        <f>-0.2419/0.2736</f>
        <v>-0.88413742690058483</v>
      </c>
    </row>
    <row r="64" spans="19:28" x14ac:dyDescent="0.35">
      <c r="S64" s="1" t="s">
        <v>65</v>
      </c>
      <c r="T64" s="12" t="s">
        <v>81</v>
      </c>
      <c r="U64" s="12"/>
      <c r="V64" s="2">
        <f t="shared" ref="V64:V65" si="20">-5.139+V44</f>
        <v>-0.78959626931786264</v>
      </c>
      <c r="AA64" t="s">
        <v>86</v>
      </c>
      <c r="AB64">
        <f>-0.6732/0.4334</f>
        <v>-1.5532994923857868</v>
      </c>
    </row>
    <row r="65" spans="3:25" x14ac:dyDescent="0.35">
      <c r="S65" s="1" t="s">
        <v>66</v>
      </c>
      <c r="T65" s="12" t="s">
        <v>82</v>
      </c>
      <c r="U65" s="12"/>
      <c r="V65" s="2">
        <f t="shared" si="20"/>
        <v>-0.50984802160498432</v>
      </c>
    </row>
    <row r="68" spans="3:25" x14ac:dyDescent="0.35">
      <c r="C68" s="1"/>
      <c r="D68" s="13" t="s">
        <v>19</v>
      </c>
      <c r="E68" s="13"/>
      <c r="F68" s="13"/>
      <c r="G68" s="13"/>
      <c r="H68" s="13" t="s">
        <v>20</v>
      </c>
      <c r="I68" s="13"/>
      <c r="J68" s="13"/>
      <c r="K68" s="13"/>
    </row>
    <row r="69" spans="3:25" x14ac:dyDescent="0.35">
      <c r="C69" s="1" t="s">
        <v>0</v>
      </c>
      <c r="D69" s="1" t="s">
        <v>93</v>
      </c>
      <c r="E69" s="1" t="s">
        <v>95</v>
      </c>
      <c r="F69" s="1" t="s">
        <v>8</v>
      </c>
      <c r="G69" s="1" t="s">
        <v>94</v>
      </c>
      <c r="H69" s="1" t="s">
        <v>93</v>
      </c>
      <c r="I69" s="1" t="s">
        <v>95</v>
      </c>
      <c r="J69" s="1" t="s">
        <v>8</v>
      </c>
      <c r="K69" s="1" t="s">
        <v>94</v>
      </c>
    </row>
    <row r="70" spans="3:25" x14ac:dyDescent="0.35">
      <c r="C70" s="1" t="s">
        <v>13</v>
      </c>
      <c r="D70" s="2" t="s">
        <v>96</v>
      </c>
      <c r="E70" s="2">
        <v>0.5</v>
      </c>
      <c r="F70" s="2">
        <f>F25</f>
        <v>1139</v>
      </c>
      <c r="G70" s="2">
        <v>0</v>
      </c>
      <c r="H70" s="2" t="s">
        <v>96</v>
      </c>
      <c r="I70" s="2">
        <v>0.5</v>
      </c>
      <c r="J70" s="2">
        <v>1139</v>
      </c>
      <c r="K70" s="2">
        <v>0</v>
      </c>
    </row>
    <row r="71" spans="3:25" x14ac:dyDescent="0.35">
      <c r="C71" s="1" t="s">
        <v>13</v>
      </c>
      <c r="D71" s="2" t="s">
        <v>96</v>
      </c>
      <c r="E71" s="2">
        <v>0.5</v>
      </c>
      <c r="F71" s="2">
        <f>F26</f>
        <v>819</v>
      </c>
      <c r="G71" s="2">
        <v>0</v>
      </c>
      <c r="H71" s="2" t="s">
        <v>96</v>
      </c>
      <c r="I71" s="2">
        <v>0.5</v>
      </c>
      <c r="J71" s="2">
        <v>819</v>
      </c>
      <c r="K71" s="2">
        <v>0</v>
      </c>
    </row>
    <row r="72" spans="3:25" x14ac:dyDescent="0.35">
      <c r="C72" s="1" t="s">
        <v>12</v>
      </c>
      <c r="D72" s="2">
        <f>E27</f>
        <v>136.58000000000001</v>
      </c>
      <c r="E72" s="2">
        <v>0.5</v>
      </c>
      <c r="F72" s="2">
        <f>F27</f>
        <v>580.30634573304121</v>
      </c>
      <c r="G72" s="2">
        <f>G27</f>
        <v>43.139382512938695</v>
      </c>
      <c r="H72" s="2">
        <f>AD7</f>
        <v>135.24</v>
      </c>
      <c r="I72" s="2">
        <v>0.5</v>
      </c>
      <c r="J72" s="2">
        <f>AE7</f>
        <v>608.87445887445881</v>
      </c>
      <c r="K72" s="2">
        <f>AF7</f>
        <v>42.441050023047119</v>
      </c>
      <c r="S72" s="15" t="s">
        <v>87</v>
      </c>
      <c r="T72" s="15"/>
      <c r="U72" s="15"/>
      <c r="V72" s="15"/>
      <c r="W72" s="15"/>
      <c r="X72" s="15"/>
    </row>
    <row r="73" spans="3:25" x14ac:dyDescent="0.35">
      <c r="C73" s="1" t="s">
        <v>14</v>
      </c>
      <c r="D73" s="2">
        <f>E28</f>
        <v>137.1</v>
      </c>
      <c r="E73" s="2">
        <v>0.5</v>
      </c>
      <c r="F73" s="2">
        <f>F28</f>
        <v>568.92778993435456</v>
      </c>
      <c r="G73" s="2">
        <f>G28</f>
        <v>43.139382488789614</v>
      </c>
      <c r="H73" s="2">
        <f>AD8</f>
        <v>136.83000000000001</v>
      </c>
      <c r="I73" s="2">
        <v>0.5</v>
      </c>
      <c r="J73" s="2">
        <f>AE8</f>
        <v>574.45887445887433</v>
      </c>
      <c r="K73" s="2">
        <f>AF8</f>
        <v>42.441049953780919</v>
      </c>
      <c r="S73" s="5"/>
      <c r="T73" s="14" t="s">
        <v>88</v>
      </c>
      <c r="U73" s="14"/>
      <c r="V73" s="14"/>
      <c r="W73" s="14"/>
      <c r="X73" s="14"/>
    </row>
    <row r="74" spans="3:25" x14ac:dyDescent="0.35">
      <c r="C74" s="1" t="s">
        <v>15</v>
      </c>
      <c r="D74" s="2">
        <f>E29</f>
        <v>138</v>
      </c>
      <c r="E74" s="2">
        <v>0.5</v>
      </c>
      <c r="F74" s="2">
        <f>F29</f>
        <v>549.234135667396</v>
      </c>
      <c r="G74" s="2">
        <f>G29</f>
        <v>43.139382446184058</v>
      </c>
      <c r="H74" s="2">
        <f>AD9</f>
        <v>137.21</v>
      </c>
      <c r="I74" s="2">
        <v>0.5</v>
      </c>
      <c r="J74" s="2">
        <f>AE9</f>
        <v>566.23376623376623</v>
      </c>
      <c r="K74" s="2">
        <f>AF9</f>
        <v>42.441049936798571</v>
      </c>
      <c r="S74" s="5" t="s">
        <v>83</v>
      </c>
      <c r="T74" s="5" t="s">
        <v>84</v>
      </c>
      <c r="U74" s="5" t="s">
        <v>100</v>
      </c>
      <c r="V74" s="5" t="s">
        <v>85</v>
      </c>
      <c r="W74" s="5" t="s">
        <v>101</v>
      </c>
      <c r="X74" s="5" t="s">
        <v>86</v>
      </c>
      <c r="Y74" s="11" t="s">
        <v>102</v>
      </c>
    </row>
    <row r="75" spans="3:25" x14ac:dyDescent="0.35">
      <c r="C75" s="1" t="s">
        <v>15</v>
      </c>
      <c r="D75" s="2">
        <f>E30</f>
        <v>139.01</v>
      </c>
      <c r="E75" s="2">
        <v>0.5</v>
      </c>
      <c r="F75" s="2">
        <f>F30</f>
        <v>527.13347921225397</v>
      </c>
      <c r="G75" s="2">
        <f>G30</f>
        <v>43.139382397087282</v>
      </c>
      <c r="H75" s="2">
        <f>AD10</f>
        <v>138.63999999999999</v>
      </c>
      <c r="I75" s="2">
        <v>0.5</v>
      </c>
      <c r="J75" s="2">
        <f>AE10</f>
        <v>535.28138528138572</v>
      </c>
      <c r="K75" s="2">
        <f>AF10</f>
        <v>42.441049871307769</v>
      </c>
      <c r="S75" s="6">
        <v>3</v>
      </c>
      <c r="T75" s="6">
        <f>1/SQRT(5.139)</f>
        <v>0.44112400437390686</v>
      </c>
      <c r="U75" s="6">
        <f>0</f>
        <v>0</v>
      </c>
      <c r="V75" s="6">
        <f>1/SQRT(-V53)</f>
        <v>0.58013346619923412</v>
      </c>
      <c r="W75" s="6">
        <f>M93</f>
        <v>2.4971414867589713E-2</v>
      </c>
      <c r="X75" s="6">
        <f>1/SQRT(-V51)</f>
        <v>0.82866560293064528</v>
      </c>
      <c r="Y75">
        <f>M91</f>
        <v>0</v>
      </c>
    </row>
    <row r="76" spans="3:25" x14ac:dyDescent="0.35">
      <c r="C76" s="1" t="s">
        <v>15</v>
      </c>
      <c r="D76" s="2">
        <f>E31</f>
        <v>139.65</v>
      </c>
      <c r="E76" s="2">
        <v>0.5</v>
      </c>
      <c r="F76" s="2">
        <f>F31</f>
        <v>513.12910284463874</v>
      </c>
      <c r="G76" s="2">
        <f>G31</f>
        <v>43.13938236523488</v>
      </c>
      <c r="H76" s="2">
        <f>AD11</f>
        <v>139.16999999999999</v>
      </c>
      <c r="I76" s="2">
        <v>0.5</v>
      </c>
      <c r="J76" s="2">
        <f>AE11</f>
        <v>523.80952380952419</v>
      </c>
      <c r="K76" s="2">
        <f>AF11</f>
        <v>42.441049846368159</v>
      </c>
      <c r="S76" s="6">
        <v>4</v>
      </c>
      <c r="T76" s="6">
        <f>1/SQRT(-V50)</f>
        <v>0.72895491683660785</v>
      </c>
      <c r="U76" s="6">
        <f>M90</f>
        <v>0</v>
      </c>
      <c r="V76" s="6">
        <f>1/SQRT(-V63)</f>
        <v>0.8507207058847529</v>
      </c>
      <c r="W76" s="6">
        <f>M103</f>
        <v>0</v>
      </c>
      <c r="X76" s="6">
        <f>1/SQRT(-V54)</f>
        <v>1.1508989821799915</v>
      </c>
      <c r="Y76">
        <f>M94</f>
        <v>5.0650382968341005E-2</v>
      </c>
    </row>
    <row r="77" spans="3:25" x14ac:dyDescent="0.35">
      <c r="C77" s="1" t="s">
        <v>16</v>
      </c>
      <c r="D77" s="2">
        <f>E32</f>
        <v>140.62</v>
      </c>
      <c r="E77" s="2">
        <v>0.5</v>
      </c>
      <c r="F77" s="2">
        <f>F32</f>
        <v>491.90371991247247</v>
      </c>
      <c r="G77" s="2">
        <f>G32</f>
        <v>43.139382315797555</v>
      </c>
      <c r="H77" s="2">
        <f>AD12</f>
        <v>140.22</v>
      </c>
      <c r="I77" s="2">
        <v>0.5</v>
      </c>
      <c r="J77" s="2">
        <f>AE12</f>
        <v>501.08225108225122</v>
      </c>
      <c r="K77" s="2">
        <f>AF12</f>
        <v>42.441049795824874</v>
      </c>
      <c r="S77" s="6">
        <v>5</v>
      </c>
      <c r="T77" s="6">
        <f>1/SQRT(-V52)</f>
        <v>1.0708892630145648</v>
      </c>
      <c r="U77" s="6">
        <f>M92</f>
        <v>4.4640693301401448E-2</v>
      </c>
      <c r="V77" s="6">
        <f>1/SQRT(-V64)</f>
        <v>1.1253755000918693</v>
      </c>
      <c r="W77" s="6">
        <f>M104</f>
        <v>0</v>
      </c>
      <c r="X77" s="6">
        <f>1/SQRT(-V56)</f>
        <v>1.3100928219084522</v>
      </c>
      <c r="Y77">
        <f>M96</f>
        <v>6.2139451306792021E-2</v>
      </c>
    </row>
    <row r="78" spans="3:25" x14ac:dyDescent="0.35">
      <c r="C78" s="1" t="s">
        <v>2</v>
      </c>
      <c r="D78" s="2">
        <f>E33</f>
        <v>141.1</v>
      </c>
      <c r="E78" s="2">
        <v>0.5</v>
      </c>
      <c r="F78" s="2">
        <f>F33</f>
        <v>481.40043763676152</v>
      </c>
      <c r="G78" s="2">
        <f>G33</f>
        <v>43.139382290791509</v>
      </c>
      <c r="H78" s="2">
        <f>AD13</f>
        <v>140.61000000000001</v>
      </c>
      <c r="I78" s="2">
        <v>0.5</v>
      </c>
      <c r="J78" s="2">
        <f>AE13</f>
        <v>492.64069264069246</v>
      </c>
      <c r="K78" s="2">
        <f>AF13</f>
        <v>42.44104977665075</v>
      </c>
      <c r="S78" s="6">
        <v>6</v>
      </c>
      <c r="T78" s="6">
        <f>1/SQRT(-V55)</f>
        <v>1.2501425703547153</v>
      </c>
      <c r="U78" s="6">
        <f>M95</f>
        <v>5.787550012447569E-2</v>
      </c>
      <c r="V78" s="6">
        <f>1/SQRT(-V65)</f>
        <v>1.4004887701991946</v>
      </c>
      <c r="W78" s="6">
        <f>M105</f>
        <v>0</v>
      </c>
      <c r="X78" s="6">
        <f>1/SQRT(-V58)</f>
        <v>1.5217766720725843</v>
      </c>
      <c r="Y78">
        <f>M98</f>
        <v>7.6737315532419983E-2</v>
      </c>
    </row>
    <row r="79" spans="3:25" x14ac:dyDescent="0.35">
      <c r="C79" s="1" t="s">
        <v>17</v>
      </c>
      <c r="D79" s="2">
        <f>E34</f>
        <v>142.01</v>
      </c>
      <c r="E79" s="2">
        <v>0.5</v>
      </c>
      <c r="F79" s="2">
        <f>F34</f>
        <v>461.48796498905921</v>
      </c>
      <c r="G79" s="2">
        <f>G34</f>
        <v>43.139382242343764</v>
      </c>
      <c r="H79" s="2">
        <f>AD14</f>
        <v>141.4</v>
      </c>
      <c r="I79" s="2">
        <v>0.5</v>
      </c>
      <c r="J79" s="2">
        <f>AE14</f>
        <v>475.54112554112555</v>
      </c>
      <c r="K79" s="2">
        <f>AF14</f>
        <v>42.44104973711147</v>
      </c>
      <c r="S79" s="6">
        <v>7</v>
      </c>
      <c r="T79" s="6">
        <f>1/SQRT(-V57)</f>
        <v>1.4436227523256291</v>
      </c>
      <c r="U79" s="6">
        <f>M97</f>
        <v>7.1419767853603322E-2</v>
      </c>
      <c r="V79" s="6"/>
      <c r="W79" s="6"/>
      <c r="X79" s="6">
        <f>1/SQRT(-V60)</f>
        <v>2.3524524275707326</v>
      </c>
      <c r="Y79">
        <f>M100</f>
        <v>0.13035532503611935</v>
      </c>
    </row>
    <row r="80" spans="3:25" x14ac:dyDescent="0.35">
      <c r="C80" s="1" t="s">
        <v>17</v>
      </c>
      <c r="D80" s="2">
        <f>E35</f>
        <v>143.29</v>
      </c>
      <c r="E80" s="2">
        <v>0.5</v>
      </c>
      <c r="F80" s="2">
        <f>F35</f>
        <v>433.47921225382942</v>
      </c>
      <c r="G80" s="2">
        <f>G35</f>
        <v>43.139382171739058</v>
      </c>
      <c r="H80" s="2">
        <f>AD15</f>
        <v>142.56</v>
      </c>
      <c r="I80" s="2">
        <v>0.5</v>
      </c>
      <c r="J80" s="2">
        <f>AE15</f>
        <v>450.43290043290051</v>
      </c>
      <c r="K80" s="2">
        <f>AF15</f>
        <v>42.441049677262185</v>
      </c>
      <c r="S80" s="6">
        <v>8</v>
      </c>
      <c r="T80" s="6">
        <f>1/SQRT(-V59)</f>
        <v>1.7301361987161983</v>
      </c>
      <c r="U80" s="6">
        <f>M99</f>
        <v>9.0602098601040681E-2</v>
      </c>
      <c r="V80" s="6"/>
      <c r="W80" s="6"/>
      <c r="X80" s="6">
        <f>1/SQRT(-V61)</f>
        <v>3.0992422314567443</v>
      </c>
      <c r="Y80">
        <f>M101</f>
        <v>0.17645035417963245</v>
      </c>
    </row>
    <row r="81" spans="3:24" x14ac:dyDescent="0.35">
      <c r="C81" s="1" t="s">
        <v>17</v>
      </c>
      <c r="D81" s="2">
        <f>E36</f>
        <v>143.86000000000001</v>
      </c>
      <c r="E81" s="2">
        <v>0.5</v>
      </c>
      <c r="F81" s="2">
        <f>F36</f>
        <v>421.00656455142195</v>
      </c>
      <c r="G81" s="2">
        <f>G36</f>
        <v>43.139382139308019</v>
      </c>
      <c r="H81" s="2">
        <f>AD16</f>
        <v>143.09</v>
      </c>
      <c r="I81" s="2">
        <v>0.5</v>
      </c>
      <c r="J81" s="2">
        <f>AE16</f>
        <v>438.96103896103898</v>
      </c>
      <c r="K81" s="2">
        <f>AF16</f>
        <v>42.441049649164903</v>
      </c>
      <c r="S81" s="6">
        <v>9</v>
      </c>
      <c r="T81" s="7">
        <f>1/SQRT(-V62)</f>
        <v>6.6451936562879688</v>
      </c>
      <c r="U81" s="7">
        <f>M102</f>
        <v>0.38908276055393753</v>
      </c>
      <c r="V81" s="6"/>
      <c r="W81" s="6"/>
      <c r="X81" s="6"/>
    </row>
    <row r="82" spans="3:24" x14ac:dyDescent="0.35">
      <c r="C82" s="1" t="s">
        <v>17</v>
      </c>
      <c r="D82" s="2">
        <f>E37</f>
        <v>144.51</v>
      </c>
      <c r="E82" s="2">
        <v>0.5</v>
      </c>
      <c r="F82" s="2">
        <f>F37</f>
        <v>406.78336980306358</v>
      </c>
      <c r="G82" s="2">
        <f>G37</f>
        <v>43.139382101531893</v>
      </c>
      <c r="H82" s="2">
        <f>AD17</f>
        <v>143.56</v>
      </c>
      <c r="I82" s="2">
        <v>0.5</v>
      </c>
      <c r="J82" s="2">
        <f>AE17</f>
        <v>428.78787878787887</v>
      </c>
      <c r="K82" s="2">
        <f>AF17</f>
        <v>42.441049623832349</v>
      </c>
    </row>
    <row r="83" spans="3:24" x14ac:dyDescent="0.35">
      <c r="C83" s="1" t="s">
        <v>18</v>
      </c>
      <c r="D83" s="2" t="s">
        <v>96</v>
      </c>
      <c r="E83" s="2">
        <v>0.5</v>
      </c>
      <c r="F83" s="2">
        <f>F38</f>
        <v>330.24</v>
      </c>
      <c r="G83" s="2">
        <v>0</v>
      </c>
      <c r="H83" s="2" t="s">
        <v>96</v>
      </c>
      <c r="I83" s="2">
        <v>0.5</v>
      </c>
      <c r="J83" s="2">
        <f>AE18</f>
        <v>330.24</v>
      </c>
      <c r="K83" s="2">
        <v>0</v>
      </c>
    </row>
    <row r="84" spans="3:24" x14ac:dyDescent="0.35">
      <c r="C84" s="1" t="s">
        <v>18</v>
      </c>
      <c r="D84" s="2" t="s">
        <v>96</v>
      </c>
      <c r="E84" s="2">
        <v>0.5</v>
      </c>
      <c r="F84" s="2">
        <f>F39</f>
        <v>285.27999999999997</v>
      </c>
      <c r="G84" s="2">
        <v>0</v>
      </c>
      <c r="H84" s="2" t="s">
        <v>96</v>
      </c>
      <c r="I84" s="2">
        <v>0.5</v>
      </c>
      <c r="J84" s="2">
        <f>AE19</f>
        <v>285.27999999999997</v>
      </c>
      <c r="K84" s="2">
        <v>0</v>
      </c>
    </row>
    <row r="85" spans="3:24" x14ac:dyDescent="0.35">
      <c r="C85" s="1" t="s">
        <v>18</v>
      </c>
      <c r="D85" s="2" t="s">
        <v>96</v>
      </c>
      <c r="E85" s="2">
        <v>0.5</v>
      </c>
      <c r="F85" s="2">
        <f>F40</f>
        <v>268.04000000000002</v>
      </c>
      <c r="G85" s="2">
        <v>0</v>
      </c>
      <c r="H85" s="2" t="s">
        <v>96</v>
      </c>
      <c r="I85" s="2">
        <v>0.5</v>
      </c>
      <c r="J85" s="2">
        <f>AE20</f>
        <v>268.04000000000002</v>
      </c>
      <c r="K85" s="2">
        <v>0</v>
      </c>
    </row>
    <row r="89" spans="3:24" x14ac:dyDescent="0.35">
      <c r="G89" s="1" t="s">
        <v>0</v>
      </c>
      <c r="H89" s="10" t="s">
        <v>97</v>
      </c>
      <c r="I89" s="10" t="s">
        <v>98</v>
      </c>
      <c r="J89" s="1" t="s">
        <v>0</v>
      </c>
      <c r="K89" s="10" t="s">
        <v>47</v>
      </c>
      <c r="L89" s="10" t="s">
        <v>99</v>
      </c>
    </row>
    <row r="90" spans="3:24" x14ac:dyDescent="0.35">
      <c r="G90" s="1" t="s">
        <v>13</v>
      </c>
      <c r="H90">
        <f>AVERAGE(F70,J70,J117)</f>
        <v>1139</v>
      </c>
      <c r="I90">
        <f>P30</f>
        <v>0</v>
      </c>
      <c r="J90" s="1" t="s">
        <v>13</v>
      </c>
      <c r="K90">
        <f>V30</f>
        <v>1.0893747992001759</v>
      </c>
      <c r="L90">
        <f>K90*SQRT((I90/H90)^2)</f>
        <v>0</v>
      </c>
      <c r="M90">
        <f>(1/SQRT(-V50))*SQRT(((L90)/(K90))^2)</f>
        <v>0</v>
      </c>
      <c r="N90" s="1" t="s">
        <v>51</v>
      </c>
      <c r="O90" s="12" t="s">
        <v>67</v>
      </c>
      <c r="P90" s="12"/>
      <c r="Q90">
        <f>M90+0.043</f>
        <v>4.2999999999999997E-2</v>
      </c>
    </row>
    <row r="91" spans="3:24" x14ac:dyDescent="0.35">
      <c r="G91" s="1" t="s">
        <v>13</v>
      </c>
      <c r="H91">
        <f>AVERAGE(F71,J71,J118)</f>
        <v>819</v>
      </c>
      <c r="I91">
        <f t="shared" ref="I91:I105" si="21">P31</f>
        <v>0</v>
      </c>
      <c r="J91" s="1" t="s">
        <v>13</v>
      </c>
      <c r="K91">
        <f t="shared" ref="K91:K105" si="22">V31</f>
        <v>1.5150157463846157</v>
      </c>
      <c r="L91">
        <f t="shared" ref="L91:L105" si="23">K91*SQRT((I91/H91)^2)</f>
        <v>0</v>
      </c>
      <c r="M91">
        <f t="shared" ref="M91:M105" si="24">(1/SQRT(-V51))*SQRT(((L91)/(K91))^2)</f>
        <v>0</v>
      </c>
      <c r="N91" s="1" t="s">
        <v>52</v>
      </c>
      <c r="O91" s="12" t="s">
        <v>68</v>
      </c>
      <c r="P91" s="12"/>
      <c r="Q91">
        <f t="shared" ref="Q91:Q102" si="25">M91+0.043</f>
        <v>4.2999999999999997E-2</v>
      </c>
    </row>
    <row r="92" spans="3:24" x14ac:dyDescent="0.35">
      <c r="G92" s="1" t="s">
        <v>12</v>
      </c>
      <c r="H92">
        <f>AVERAGE(F72,J72,J119)</f>
        <v>591.05449619672811</v>
      </c>
      <c r="I92">
        <f t="shared" si="21"/>
        <v>24.638478879560523</v>
      </c>
      <c r="J92" s="1" t="s">
        <v>12</v>
      </c>
      <c r="K92">
        <f t="shared" si="22"/>
        <v>2.0992952498850634</v>
      </c>
      <c r="L92">
        <f t="shared" si="23"/>
        <v>8.7510444483682767E-2</v>
      </c>
      <c r="M92">
        <f t="shared" si="24"/>
        <v>4.4640693301401448E-2</v>
      </c>
      <c r="N92" s="1" t="s">
        <v>53</v>
      </c>
      <c r="O92" s="12" t="s">
        <v>69</v>
      </c>
      <c r="P92" s="12"/>
      <c r="Q92">
        <f t="shared" si="25"/>
        <v>8.7640693301401451E-2</v>
      </c>
    </row>
    <row r="93" spans="3:24" x14ac:dyDescent="0.35">
      <c r="G93" s="1" t="s">
        <v>14</v>
      </c>
      <c r="H93">
        <f>AVERAGE(F73,J73,J120)</f>
        <v>572.39872940091743</v>
      </c>
      <c r="I93">
        <f t="shared" si="21"/>
        <v>24.638478857626712</v>
      </c>
      <c r="J93" s="1" t="s">
        <v>14</v>
      </c>
      <c r="K93">
        <f t="shared" si="22"/>
        <v>2.1677160212910347</v>
      </c>
      <c r="L93">
        <f t="shared" si="23"/>
        <v>9.3307728715290639E-2</v>
      </c>
      <c r="M93">
        <f t="shared" si="24"/>
        <v>2.4971414867589713E-2</v>
      </c>
      <c r="N93" s="1" t="s">
        <v>54</v>
      </c>
      <c r="O93" s="12" t="s">
        <v>70</v>
      </c>
      <c r="P93" s="12"/>
      <c r="Q93">
        <f>M93</f>
        <v>2.4971414867589713E-2</v>
      </c>
    </row>
    <row r="94" spans="3:24" x14ac:dyDescent="0.35">
      <c r="G94" s="1" t="s">
        <v>15</v>
      </c>
      <c r="H94">
        <f>AVERAGE(F74,J74,J121)</f>
        <v>559.84572199014212</v>
      </c>
      <c r="I94">
        <f t="shared" si="21"/>
        <v>24.638478842232001</v>
      </c>
      <c r="J94" s="1" t="s">
        <v>15</v>
      </c>
      <c r="K94">
        <f t="shared" si="22"/>
        <v>2.2163211176790032</v>
      </c>
      <c r="L94">
        <f t="shared" si="23"/>
        <v>9.7538980509504769E-2</v>
      </c>
      <c r="M94">
        <f t="shared" si="24"/>
        <v>5.0650382968341005E-2</v>
      </c>
      <c r="N94" s="1" t="s">
        <v>55</v>
      </c>
      <c r="O94" s="12" t="s">
        <v>71</v>
      </c>
      <c r="P94" s="12"/>
      <c r="Q94">
        <f t="shared" si="25"/>
        <v>9.3650382968340995E-2</v>
      </c>
    </row>
    <row r="95" spans="3:24" x14ac:dyDescent="0.35">
      <c r="G95" s="1" t="s">
        <v>15</v>
      </c>
      <c r="H95">
        <f>AVERAGE(F75,J75,J122)</f>
        <v>532.20466623092477</v>
      </c>
      <c r="I95">
        <f t="shared" si="21"/>
        <v>24.6384788080249</v>
      </c>
      <c r="J95" s="1" t="s">
        <v>15</v>
      </c>
      <c r="K95">
        <f t="shared" si="22"/>
        <v>2.3314299460700618</v>
      </c>
      <c r="L95">
        <f t="shared" si="23"/>
        <v>0.10793382877578389</v>
      </c>
      <c r="M95">
        <f t="shared" si="24"/>
        <v>5.787550012447569E-2</v>
      </c>
      <c r="N95" s="1" t="s">
        <v>56</v>
      </c>
      <c r="O95" s="12" t="s">
        <v>72</v>
      </c>
      <c r="P95" s="12"/>
      <c r="Q95">
        <f t="shared" si="25"/>
        <v>0.10087550012447569</v>
      </c>
    </row>
    <row r="96" spans="3:24" x14ac:dyDescent="0.35">
      <c r="G96" s="1" t="s">
        <v>15</v>
      </c>
      <c r="H96">
        <f>AVERAGE(F76,J76,J123)</f>
        <v>519.45573269424483</v>
      </c>
      <c r="I96">
        <f t="shared" si="21"/>
        <v>24.638478791729153</v>
      </c>
      <c r="J96" s="1" t="s">
        <v>15</v>
      </c>
      <c r="K96">
        <f t="shared" si="22"/>
        <v>2.3886499237449792</v>
      </c>
      <c r="L96">
        <f t="shared" si="23"/>
        <v>0.11329685434754308</v>
      </c>
      <c r="M96">
        <f t="shared" si="24"/>
        <v>6.2139451306792021E-2</v>
      </c>
      <c r="N96" s="1" t="s">
        <v>57</v>
      </c>
      <c r="O96" s="12" t="s">
        <v>73</v>
      </c>
      <c r="P96" s="12"/>
      <c r="Q96">
        <f t="shared" si="25"/>
        <v>0.10513945130679202</v>
      </c>
    </row>
    <row r="97" spans="7:24" x14ac:dyDescent="0.35">
      <c r="G97" s="1" t="s">
        <v>16</v>
      </c>
      <c r="H97">
        <f>AVERAGE(F77,J77,J124)</f>
        <v>498.02274069232499</v>
      </c>
      <c r="I97">
        <f t="shared" si="21"/>
        <v>24.638478763763715</v>
      </c>
      <c r="J97" s="1" t="s">
        <v>16</v>
      </c>
      <c r="K97">
        <f t="shared" si="22"/>
        <v>2.4914482711454271</v>
      </c>
      <c r="L97">
        <f t="shared" si="23"/>
        <v>0.12325841834912507</v>
      </c>
      <c r="M97">
        <f t="shared" si="24"/>
        <v>7.1419767853603322E-2</v>
      </c>
      <c r="N97" s="1" t="s">
        <v>58</v>
      </c>
      <c r="O97" s="12" t="s">
        <v>74</v>
      </c>
      <c r="P97" s="12"/>
      <c r="Q97">
        <f t="shared" si="25"/>
        <v>0.11441976785360332</v>
      </c>
    </row>
    <row r="98" spans="7:24" x14ac:dyDescent="0.35">
      <c r="G98" s="1" t="s">
        <v>2</v>
      </c>
      <c r="H98">
        <f>AVERAGE(F78,J78,J125)</f>
        <v>488.60534068411522</v>
      </c>
      <c r="I98">
        <f t="shared" si="21"/>
        <v>24.638478751180475</v>
      </c>
      <c r="J98" s="1" t="s">
        <v>2</v>
      </c>
      <c r="K98">
        <f t="shared" si="22"/>
        <v>2.5394685505314194</v>
      </c>
      <c r="L98">
        <f t="shared" si="23"/>
        <v>0.12805558333430145</v>
      </c>
      <c r="M98">
        <f t="shared" si="24"/>
        <v>7.6737315532419983E-2</v>
      </c>
      <c r="N98" s="1" t="s">
        <v>59</v>
      </c>
      <c r="O98" s="12" t="s">
        <v>75</v>
      </c>
      <c r="P98" s="12"/>
      <c r="Q98">
        <f t="shared" si="25"/>
        <v>0.11973731553241998</v>
      </c>
    </row>
    <row r="99" spans="7:24" x14ac:dyDescent="0.35">
      <c r="G99" s="1" t="s">
        <v>17</v>
      </c>
      <c r="H99">
        <f>AVERAGE(F79,J79,J126)</f>
        <v>470.4959883296865</v>
      </c>
      <c r="I99">
        <f t="shared" si="21"/>
        <v>24.638478726513707</v>
      </c>
      <c r="J99" s="1" t="s">
        <v>17</v>
      </c>
      <c r="K99">
        <f t="shared" si="22"/>
        <v>2.6372124886632333</v>
      </c>
      <c r="L99">
        <f t="shared" si="23"/>
        <v>0.13810299218469563</v>
      </c>
      <c r="M99">
        <f t="shared" si="24"/>
        <v>9.0602098601040681E-2</v>
      </c>
      <c r="N99" s="1" t="s">
        <v>60</v>
      </c>
      <c r="O99" s="12" t="s">
        <v>76</v>
      </c>
      <c r="P99" s="12"/>
      <c r="Q99">
        <f t="shared" si="25"/>
        <v>0.13360209860104066</v>
      </c>
    </row>
    <row r="100" spans="7:24" x14ac:dyDescent="0.35">
      <c r="G100" s="1" t="s">
        <v>17</v>
      </c>
      <c r="H100">
        <f>AVERAGE(F80,J80,J127)</f>
        <v>444.63737089557657</v>
      </c>
      <c r="I100">
        <f t="shared" si="21"/>
        <v>24.638478690152255</v>
      </c>
      <c r="J100" s="1" t="s">
        <v>17</v>
      </c>
      <c r="K100">
        <f t="shared" si="22"/>
        <v>2.7905839173837741</v>
      </c>
      <c r="L100">
        <f t="shared" si="23"/>
        <v>0.154633296438974</v>
      </c>
      <c r="M100">
        <f t="shared" si="24"/>
        <v>0.13035532503611935</v>
      </c>
      <c r="N100" s="1" t="s">
        <v>61</v>
      </c>
      <c r="O100" s="12" t="s">
        <v>77</v>
      </c>
      <c r="P100" s="12"/>
      <c r="Q100">
        <f t="shared" si="25"/>
        <v>0.17335532503611933</v>
      </c>
    </row>
    <row r="101" spans="7:24" x14ac:dyDescent="0.35">
      <c r="G101" s="1" t="s">
        <v>17</v>
      </c>
      <c r="H101">
        <f>AVERAGE(F81,J81,J128)</f>
        <v>432.75976394138314</v>
      </c>
      <c r="I101">
        <f t="shared" si="21"/>
        <v>24.638478672981691</v>
      </c>
      <c r="J101" s="1" t="s">
        <v>17</v>
      </c>
      <c r="K101">
        <f t="shared" si="22"/>
        <v>2.8671748153949572</v>
      </c>
      <c r="L101">
        <f t="shared" si="23"/>
        <v>0.16323797040980773</v>
      </c>
      <c r="M101">
        <f t="shared" si="24"/>
        <v>0.17645035417963245</v>
      </c>
      <c r="N101" s="1" t="s">
        <v>62</v>
      </c>
      <c r="O101" s="12" t="s">
        <v>78</v>
      </c>
      <c r="P101" s="12"/>
      <c r="Q101">
        <f t="shared" si="25"/>
        <v>0.21945035417963243</v>
      </c>
    </row>
    <row r="102" spans="7:24" x14ac:dyDescent="0.35">
      <c r="G102" s="1" t="s">
        <v>17</v>
      </c>
      <c r="H102">
        <f>AVERAGE(F82,J82,J129)</f>
        <v>420.80369181025645</v>
      </c>
      <c r="I102">
        <f t="shared" si="21"/>
        <v>24.638478655305548</v>
      </c>
      <c r="J102" s="1" t="s">
        <v>17</v>
      </c>
      <c r="K102">
        <f t="shared" si="22"/>
        <v>2.9486383328796588</v>
      </c>
      <c r="L102">
        <f t="shared" si="23"/>
        <v>0.17264573491344182</v>
      </c>
      <c r="M102">
        <f t="shared" si="24"/>
        <v>0.38908276055393753</v>
      </c>
      <c r="N102" s="1" t="s">
        <v>63</v>
      </c>
      <c r="O102" s="12" t="s">
        <v>79</v>
      </c>
      <c r="P102" s="12"/>
      <c r="Q102">
        <f t="shared" si="25"/>
        <v>0.43208276055393752</v>
      </c>
    </row>
    <row r="103" spans="7:24" x14ac:dyDescent="0.35">
      <c r="G103" s="1" t="s">
        <v>18</v>
      </c>
      <c r="H103">
        <f>AVERAGE(F83,J83,J130)</f>
        <v>330.24</v>
      </c>
      <c r="I103">
        <f t="shared" si="21"/>
        <v>0</v>
      </c>
      <c r="J103" s="1" t="s">
        <v>18</v>
      </c>
      <c r="K103">
        <f t="shared" si="22"/>
        <v>3.7572610716115564</v>
      </c>
      <c r="L103">
        <f t="shared" si="23"/>
        <v>0</v>
      </c>
      <c r="M103">
        <f t="shared" si="24"/>
        <v>0</v>
      </c>
      <c r="N103" s="1" t="s">
        <v>64</v>
      </c>
      <c r="O103" s="12" t="s">
        <v>80</v>
      </c>
      <c r="P103" s="12"/>
      <c r="Q103">
        <v>0</v>
      </c>
    </row>
    <row r="104" spans="7:24" x14ac:dyDescent="0.35">
      <c r="G104" s="1" t="s">
        <v>18</v>
      </c>
      <c r="H104">
        <f>AVERAGE(F84,J84,J131)</f>
        <v>285.27999999999997</v>
      </c>
      <c r="I104">
        <f t="shared" si="21"/>
        <v>0</v>
      </c>
      <c r="J104" s="1" t="s">
        <v>18</v>
      </c>
      <c r="K104">
        <f t="shared" si="22"/>
        <v>4.3494037306821376</v>
      </c>
      <c r="L104">
        <f t="shared" si="23"/>
        <v>0</v>
      </c>
      <c r="M104">
        <f t="shared" si="24"/>
        <v>0</v>
      </c>
      <c r="N104" s="1" t="s">
        <v>65</v>
      </c>
      <c r="O104" s="12" t="s">
        <v>81</v>
      </c>
      <c r="P104" s="12"/>
      <c r="Q104">
        <v>0</v>
      </c>
    </row>
    <row r="105" spans="7:24" x14ac:dyDescent="0.35">
      <c r="G105" s="1" t="s">
        <v>18</v>
      </c>
      <c r="H105">
        <f>AVERAGE(F85,J85,J132)</f>
        <v>268.04000000000002</v>
      </c>
      <c r="I105">
        <f t="shared" si="21"/>
        <v>0</v>
      </c>
      <c r="J105" s="1" t="s">
        <v>18</v>
      </c>
      <c r="K105">
        <f t="shared" si="22"/>
        <v>4.6291519783950159</v>
      </c>
      <c r="L105">
        <f t="shared" si="23"/>
        <v>0</v>
      </c>
      <c r="M105">
        <f t="shared" si="24"/>
        <v>0</v>
      </c>
      <c r="N105" s="1" t="s">
        <v>66</v>
      </c>
      <c r="O105" s="12" t="s">
        <v>82</v>
      </c>
      <c r="P105" s="12"/>
      <c r="Q105">
        <v>0</v>
      </c>
    </row>
    <row r="110" spans="7:24" x14ac:dyDescent="0.35">
      <c r="U110" s="13"/>
      <c r="V110" s="13"/>
      <c r="W110" s="13"/>
      <c r="X110" s="13"/>
    </row>
    <row r="111" spans="7:24" x14ac:dyDescent="0.35">
      <c r="U111" s="1"/>
      <c r="V111" s="1"/>
      <c r="W111" s="1"/>
      <c r="X111" s="1"/>
    </row>
    <row r="112" spans="7:24" x14ac:dyDescent="0.35">
      <c r="U112" s="2"/>
      <c r="V112" s="2"/>
      <c r="W112" s="2"/>
      <c r="X112" s="2"/>
    </row>
    <row r="113" spans="4:24" x14ac:dyDescent="0.35">
      <c r="U113" s="2"/>
      <c r="V113" s="2"/>
      <c r="W113" s="2"/>
      <c r="X113" s="2"/>
    </row>
    <row r="114" spans="4:24" x14ac:dyDescent="0.35">
      <c r="U114" s="2"/>
      <c r="V114" s="2"/>
      <c r="W114" s="2"/>
      <c r="X114" s="2"/>
    </row>
    <row r="115" spans="4:24" x14ac:dyDescent="0.35">
      <c r="G115" s="1"/>
      <c r="H115" s="13" t="s">
        <v>92</v>
      </c>
      <c r="I115" s="13"/>
      <c r="J115" s="13"/>
      <c r="K115" s="13"/>
      <c r="U115" s="2"/>
      <c r="V115" s="2"/>
      <c r="W115" s="2"/>
      <c r="X115" s="2"/>
    </row>
    <row r="116" spans="4:24" x14ac:dyDescent="0.35">
      <c r="G116" s="1" t="s">
        <v>0</v>
      </c>
      <c r="H116" s="1" t="s">
        <v>93</v>
      </c>
      <c r="I116" s="1" t="s">
        <v>95</v>
      </c>
      <c r="J116" s="1" t="s">
        <v>8</v>
      </c>
      <c r="K116" s="1" t="s">
        <v>94</v>
      </c>
      <c r="U116" s="2"/>
      <c r="V116" s="2"/>
      <c r="W116" s="2"/>
      <c r="X116" s="2"/>
    </row>
    <row r="117" spans="4:24" x14ac:dyDescent="0.35">
      <c r="G117" s="1" t="s">
        <v>13</v>
      </c>
      <c r="H117" s="2" t="s">
        <v>96</v>
      </c>
      <c r="I117" s="2">
        <v>0.5</v>
      </c>
      <c r="J117" s="2">
        <f>AE23</f>
        <v>1139</v>
      </c>
      <c r="K117" s="2">
        <v>0</v>
      </c>
      <c r="U117" s="2"/>
      <c r="V117" s="2"/>
      <c r="W117" s="2"/>
      <c r="X117" s="2"/>
    </row>
    <row r="118" spans="4:24" x14ac:dyDescent="0.35">
      <c r="G118" s="1" t="s">
        <v>13</v>
      </c>
      <c r="H118" s="2" t="s">
        <v>96</v>
      </c>
      <c r="I118" s="2">
        <v>0.5</v>
      </c>
      <c r="J118" s="2">
        <f>AE24</f>
        <v>819</v>
      </c>
      <c r="K118" s="2">
        <v>0</v>
      </c>
      <c r="U118" s="2"/>
      <c r="V118" s="2"/>
      <c r="W118" s="2"/>
      <c r="X118" s="2"/>
    </row>
    <row r="119" spans="4:24" x14ac:dyDescent="0.35">
      <c r="G119" s="1" t="s">
        <v>12</v>
      </c>
      <c r="H119" s="2">
        <f>AD25</f>
        <v>136.38999999999999</v>
      </c>
      <c r="I119" s="2">
        <v>0.5</v>
      </c>
      <c r="J119" s="2">
        <f>AE25</f>
        <v>583.98268398268442</v>
      </c>
      <c r="K119" s="2">
        <f>AF25</f>
        <v>42.441049973233717</v>
      </c>
      <c r="U119" s="2"/>
      <c r="V119" s="2"/>
      <c r="W119" s="2"/>
      <c r="X119" s="2"/>
    </row>
    <row r="120" spans="4:24" x14ac:dyDescent="0.35">
      <c r="G120" s="1" t="s">
        <v>14</v>
      </c>
      <c r="H120" s="2">
        <f>AD26</f>
        <v>136.86000000000001</v>
      </c>
      <c r="I120" s="2">
        <v>0.5</v>
      </c>
      <c r="J120" s="2">
        <f>AE26</f>
        <v>573.80952380952363</v>
      </c>
      <c r="K120" s="2">
        <f>AF26</f>
        <v>42.441049952446406</v>
      </c>
      <c r="U120" s="2"/>
      <c r="V120" s="2"/>
      <c r="W120" s="2"/>
      <c r="X120" s="2"/>
    </row>
    <row r="121" spans="4:24" x14ac:dyDescent="0.35">
      <c r="G121" s="1" t="s">
        <v>15</v>
      </c>
      <c r="H121" s="2">
        <f>AD27</f>
        <v>137.31</v>
      </c>
      <c r="I121" s="2">
        <v>0.5</v>
      </c>
      <c r="J121" s="2">
        <f>AE27</f>
        <v>564.06926406926414</v>
      </c>
      <c r="K121" s="2">
        <f>AF27</f>
        <v>42.441049932300949</v>
      </c>
      <c r="U121" s="2"/>
      <c r="V121" s="2"/>
      <c r="W121" s="2"/>
      <c r="X121" s="2"/>
    </row>
    <row r="122" spans="4:24" x14ac:dyDescent="0.35">
      <c r="D122" t="s">
        <v>104</v>
      </c>
      <c r="G122" s="1" t="s">
        <v>15</v>
      </c>
      <c r="H122" s="2">
        <f>AD28</f>
        <v>138.69</v>
      </c>
      <c r="I122" s="2">
        <v>0.5</v>
      </c>
      <c r="J122" s="2">
        <f>AE28</f>
        <v>534.19913419913439</v>
      </c>
      <c r="K122" s="2">
        <f>AF28</f>
        <v>42.441049868970858</v>
      </c>
      <c r="U122" s="2"/>
      <c r="V122" s="2"/>
      <c r="W122" s="2"/>
      <c r="X122" s="2"/>
    </row>
    <row r="123" spans="4:24" x14ac:dyDescent="0.35">
      <c r="G123" s="1" t="s">
        <v>15</v>
      </c>
      <c r="H123" s="2">
        <f>AD29</f>
        <v>139.28</v>
      </c>
      <c r="I123" s="2">
        <v>0.5</v>
      </c>
      <c r="J123" s="2">
        <f>AE29</f>
        <v>521.42857142857156</v>
      </c>
      <c r="K123" s="2">
        <f>AF29</f>
        <v>42.441049841144839</v>
      </c>
      <c r="U123" s="2"/>
      <c r="V123" s="2"/>
      <c r="W123" s="2"/>
      <c r="X123" s="2"/>
    </row>
    <row r="124" spans="4:24" x14ac:dyDescent="0.35">
      <c r="G124" s="1" t="s">
        <v>16</v>
      </c>
      <c r="H124" s="2">
        <f>AD30</f>
        <v>140.22</v>
      </c>
      <c r="I124" s="2">
        <v>0.5</v>
      </c>
      <c r="J124" s="2">
        <f>AE30</f>
        <v>501.08225108225122</v>
      </c>
      <c r="K124" s="2">
        <f>AF30</f>
        <v>42.441049795824874</v>
      </c>
      <c r="U124" s="2"/>
      <c r="V124" s="2"/>
      <c r="W124" s="2"/>
      <c r="X124" s="2"/>
    </row>
    <row r="125" spans="4:24" x14ac:dyDescent="0.35">
      <c r="G125" s="1" t="s">
        <v>2</v>
      </c>
      <c r="H125" s="2">
        <f>AD31</f>
        <v>140.65</v>
      </c>
      <c r="I125" s="2">
        <v>0.5</v>
      </c>
      <c r="J125" s="2">
        <f>AE31</f>
        <v>491.77489177489178</v>
      </c>
      <c r="K125" s="2">
        <f>AF31</f>
        <v>42.441049774671491</v>
      </c>
      <c r="U125" s="2"/>
      <c r="V125" s="2"/>
      <c r="W125" s="2"/>
      <c r="X125" s="2"/>
    </row>
    <row r="126" spans="4:24" x14ac:dyDescent="0.35">
      <c r="G126" s="1" t="s">
        <v>17</v>
      </c>
      <c r="H126" s="2">
        <f>AD32</f>
        <v>141.44999999999999</v>
      </c>
      <c r="I126" s="2">
        <v>0.5</v>
      </c>
      <c r="J126" s="2">
        <f>AE32</f>
        <v>474.45887445887485</v>
      </c>
      <c r="K126" s="2">
        <f>AF32</f>
        <v>42.44104973457658</v>
      </c>
      <c r="U126" s="2"/>
      <c r="V126" s="2"/>
      <c r="W126" s="2"/>
      <c r="X126" s="2"/>
    </row>
    <row r="127" spans="4:24" x14ac:dyDescent="0.35">
      <c r="G127" s="1" t="s">
        <v>17</v>
      </c>
      <c r="H127" s="2">
        <f>AD33</f>
        <v>142.58000000000001</v>
      </c>
      <c r="I127" s="2">
        <v>0.5</v>
      </c>
      <c r="J127" s="2">
        <f>AE33</f>
        <v>449.99999999999983</v>
      </c>
      <c r="K127" s="2">
        <f>AF33</f>
        <v>42.441049676210724</v>
      </c>
      <c r="U127" s="2"/>
      <c r="V127" s="2"/>
      <c r="W127" s="2"/>
      <c r="X127" s="2"/>
    </row>
    <row r="128" spans="4:24" x14ac:dyDescent="0.35">
      <c r="G128" s="1" t="s">
        <v>17</v>
      </c>
      <c r="H128" s="2">
        <f>AD34</f>
        <v>143.12</v>
      </c>
      <c r="I128" s="2">
        <v>0.5</v>
      </c>
      <c r="J128" s="2">
        <f>AE34</f>
        <v>438.31168831168833</v>
      </c>
      <c r="K128" s="2">
        <f>AF34</f>
        <v>42.44104964755978</v>
      </c>
    </row>
    <row r="129" spans="7:11" x14ac:dyDescent="0.35">
      <c r="G129" s="1" t="s">
        <v>17</v>
      </c>
      <c r="H129" s="2">
        <f>AD35</f>
        <v>143.65</v>
      </c>
      <c r="I129" s="2">
        <v>0.5</v>
      </c>
      <c r="J129" s="2">
        <f>AE35</f>
        <v>426.83982683982686</v>
      </c>
      <c r="K129" s="2">
        <f>AF35</f>
        <v>42.441049618935594</v>
      </c>
    </row>
    <row r="130" spans="7:11" x14ac:dyDescent="0.35">
      <c r="G130" s="1" t="s">
        <v>18</v>
      </c>
      <c r="H130" s="2" t="s">
        <v>96</v>
      </c>
      <c r="I130" s="2">
        <v>0.5</v>
      </c>
      <c r="J130" s="2">
        <f>AE36</f>
        <v>330.24</v>
      </c>
      <c r="K130" s="2">
        <v>0</v>
      </c>
    </row>
    <row r="131" spans="7:11" x14ac:dyDescent="0.35">
      <c r="G131" s="1" t="s">
        <v>18</v>
      </c>
      <c r="H131" s="2" t="s">
        <v>96</v>
      </c>
      <c r="I131" s="2">
        <v>0.5</v>
      </c>
      <c r="J131" s="2">
        <f>AE37</f>
        <v>285.27999999999997</v>
      </c>
      <c r="K131" s="2">
        <v>0</v>
      </c>
    </row>
    <row r="132" spans="7:11" x14ac:dyDescent="0.35">
      <c r="G132" s="1" t="s">
        <v>18</v>
      </c>
      <c r="H132" s="2" t="s">
        <v>96</v>
      </c>
      <c r="I132" s="2">
        <v>0.5</v>
      </c>
      <c r="J132" s="2">
        <f>AE38</f>
        <v>268.04000000000002</v>
      </c>
      <c r="K132" s="2">
        <v>0</v>
      </c>
    </row>
  </sheetData>
  <mergeCells count="48">
    <mergeCell ref="K28:P28"/>
    <mergeCell ref="U110:X110"/>
    <mergeCell ref="B1:F1"/>
    <mergeCell ref="B23:F23"/>
    <mergeCell ref="S2:W2"/>
    <mergeCell ref="D68:G68"/>
    <mergeCell ref="H68:K68"/>
    <mergeCell ref="H115:K115"/>
    <mergeCell ref="T51:U51"/>
    <mergeCell ref="T52:U52"/>
    <mergeCell ref="T53:U53"/>
    <mergeCell ref="T64:U64"/>
    <mergeCell ref="T65:U65"/>
    <mergeCell ref="T54:U54"/>
    <mergeCell ref="T55:U55"/>
    <mergeCell ref="T56:U56"/>
    <mergeCell ref="T57:U57"/>
    <mergeCell ref="AA2:AE2"/>
    <mergeCell ref="AA3:AE3"/>
    <mergeCell ref="AA21:AE21"/>
    <mergeCell ref="S28:V28"/>
    <mergeCell ref="S48:V48"/>
    <mergeCell ref="T58:U58"/>
    <mergeCell ref="T49:U49"/>
    <mergeCell ref="T50:U50"/>
    <mergeCell ref="O90:P90"/>
    <mergeCell ref="O91:P91"/>
    <mergeCell ref="T73:X73"/>
    <mergeCell ref="S72:X72"/>
    <mergeCell ref="T59:U59"/>
    <mergeCell ref="T60:U60"/>
    <mergeCell ref="T61:U61"/>
    <mergeCell ref="T62:U62"/>
    <mergeCell ref="T63:U63"/>
    <mergeCell ref="O92:P92"/>
    <mergeCell ref="O93:P93"/>
    <mergeCell ref="O94:P94"/>
    <mergeCell ref="O95:P95"/>
    <mergeCell ref="O96:P96"/>
    <mergeCell ref="O102:P102"/>
    <mergeCell ref="O103:P103"/>
    <mergeCell ref="O104:P104"/>
    <mergeCell ref="O105:P105"/>
    <mergeCell ref="O97:P97"/>
    <mergeCell ref="O98:P98"/>
    <mergeCell ref="O99:P99"/>
    <mergeCell ref="O100:P100"/>
    <mergeCell ref="O101:P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2024-08-22T04:29:55Z</dcterms:created>
  <dcterms:modified xsi:type="dcterms:W3CDTF">2024-09-12T08:52:00Z</dcterms:modified>
</cp:coreProperties>
</file>