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IC\"/>
    </mc:Choice>
  </mc:AlternateContent>
  <xr:revisionPtr revIDLastSave="0" documentId="13_ncr:1_{A4F4DB69-FAEA-484C-982A-B2161105A4B9}" xr6:coauthVersionLast="47" xr6:coauthVersionMax="47" xr10:uidLastSave="{00000000-0000-0000-0000-000000000000}"/>
  <bookViews>
    <workbookView xWindow="11424" yWindow="0" windowWidth="11712" windowHeight="12336" xr2:uid="{02538D92-507C-4B7C-AE8E-E02F5A8FB4EE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1" i="1" l="1"/>
  <c r="Y34" i="1"/>
  <c r="AD35" i="1"/>
  <c r="V38" i="1"/>
  <c r="V37" i="1"/>
  <c r="V36" i="1"/>
  <c r="V35" i="1"/>
  <c r="V34" i="1"/>
  <c r="Y33" i="1" s="1"/>
  <c r="V33" i="1"/>
  <c r="S36" i="1"/>
  <c r="S38" i="1" s="1"/>
  <c r="S35" i="1"/>
  <c r="S37" i="1" s="1"/>
  <c r="S34" i="1"/>
  <c r="S33" i="1"/>
  <c r="D25" i="1"/>
  <c r="D23" i="1"/>
  <c r="D24" i="1"/>
  <c r="D26" i="1"/>
  <c r="AB63" i="1"/>
  <c r="AB61" i="1"/>
  <c r="AB62" i="1"/>
  <c r="AB60" i="1"/>
  <c r="AB59" i="1"/>
  <c r="G33" i="1"/>
  <c r="B26" i="1"/>
  <c r="B25" i="1"/>
  <c r="D29" i="1" s="1"/>
  <c r="B24" i="1"/>
  <c r="B23" i="1"/>
  <c r="D22" i="1" s="1"/>
  <c r="J5" i="1"/>
  <c r="J4" i="1"/>
  <c r="J3" i="1"/>
  <c r="M6" i="1" s="1"/>
  <c r="G2" i="1"/>
  <c r="M5" i="1" s="1"/>
  <c r="G1" i="1"/>
  <c r="G3" i="1" s="1"/>
  <c r="B30" i="1" s="1"/>
  <c r="B33" i="1"/>
  <c r="G26" i="1" s="1"/>
  <c r="B29" i="1"/>
  <c r="B28" i="1"/>
  <c r="G4" i="1"/>
  <c r="B31" i="1" s="1"/>
  <c r="C4" i="1"/>
  <c r="G6" i="1"/>
  <c r="C3" i="1"/>
  <c r="C11" i="1"/>
  <c r="V41" i="1" l="1"/>
  <c r="Y37" i="1"/>
  <c r="V43" i="1"/>
  <c r="V42" i="1"/>
  <c r="C5" i="1"/>
  <c r="C7" i="1" s="1"/>
  <c r="S39" i="1"/>
  <c r="Y36" i="1"/>
  <c r="B27" i="1"/>
  <c r="D30" i="1" s="1"/>
  <c r="D27" i="1"/>
  <c r="D28" i="1"/>
  <c r="M4" i="1"/>
  <c r="M7" i="1"/>
  <c r="G5" i="1"/>
  <c r="AB33" i="1" l="1"/>
  <c r="C8" i="1"/>
  <c r="AB34" i="1"/>
  <c r="C9" i="1"/>
  <c r="M9" i="1"/>
  <c r="M11" i="1" s="1"/>
  <c r="AB36" i="1"/>
  <c r="AB35" i="1"/>
  <c r="G7" i="1"/>
  <c r="I6" i="1" s="1"/>
  <c r="B32" i="1"/>
  <c r="AD33" i="1" l="1"/>
  <c r="AD34" i="1" s="1"/>
  <c r="J8" i="1"/>
  <c r="J9" i="1" s="1"/>
  <c r="G10" i="1"/>
  <c r="G9" i="1"/>
  <c r="G11" i="1" s="1"/>
  <c r="AB38" i="1"/>
  <c r="AC38" i="1" s="1"/>
  <c r="AB39" i="1"/>
  <c r="AB40" i="1" s="1"/>
  <c r="AC40" i="1" s="1"/>
  <c r="G22" i="1"/>
  <c r="G24" i="1"/>
  <c r="G23" i="1"/>
  <c r="G25" i="1"/>
  <c r="AB43" i="1" l="1"/>
  <c r="AC43" i="1" s="1"/>
  <c r="AB42" i="1"/>
  <c r="AC42" i="1" s="1"/>
  <c r="G27" i="1"/>
  <c r="I27" i="1" s="1"/>
  <c r="K27" i="1" s="1"/>
  <c r="G29" i="1"/>
  <c r="G30" i="1" s="1"/>
  <c r="I30" i="1" s="1"/>
  <c r="K30" i="1" s="1"/>
  <c r="J11" i="1"/>
  <c r="J10" i="1"/>
  <c r="I29" i="1" l="1"/>
  <c r="K29" i="1" s="1"/>
  <c r="G32" i="1" l="1"/>
  <c r="G34" i="1" s="1"/>
</calcChain>
</file>

<file path=xl/sharedStrings.xml><?xml version="1.0" encoding="utf-8"?>
<sst xmlns="http://schemas.openxmlformats.org/spreadsheetml/2006/main" count="121" uniqueCount="91">
  <si>
    <t>RF</t>
    <phoneticPr fontId="1" type="noConversion"/>
  </si>
  <si>
    <t>RS</t>
    <phoneticPr fontId="1" type="noConversion"/>
  </si>
  <si>
    <t>1/SC1</t>
    <phoneticPr fontId="1" type="noConversion"/>
  </si>
  <si>
    <t>RF||RS</t>
    <phoneticPr fontId="1" type="noConversion"/>
  </si>
  <si>
    <t>實部</t>
    <phoneticPr fontId="1" type="noConversion"/>
  </si>
  <si>
    <t>虛部</t>
    <phoneticPr fontId="1" type="noConversion"/>
  </si>
  <si>
    <t>gds1</t>
    <phoneticPr fontId="1" type="noConversion"/>
  </si>
  <si>
    <t>gds2</t>
    <phoneticPr fontId="1" type="noConversion"/>
  </si>
  <si>
    <t>ron</t>
    <phoneticPr fontId="1" type="noConversion"/>
  </si>
  <si>
    <t>rop</t>
    <phoneticPr fontId="1" type="noConversion"/>
  </si>
  <si>
    <t>ron||rop</t>
    <phoneticPr fontId="1" type="noConversion"/>
  </si>
  <si>
    <t>ron||rop||RF</t>
    <phoneticPr fontId="1" type="noConversion"/>
  </si>
  <si>
    <t>gmn</t>
    <phoneticPr fontId="1" type="noConversion"/>
  </si>
  <si>
    <t>gmp</t>
    <phoneticPr fontId="1" type="noConversion"/>
  </si>
  <si>
    <t>iin</t>
    <phoneticPr fontId="1" type="noConversion"/>
  </si>
  <si>
    <t>A</t>
    <phoneticPr fontId="1" type="noConversion"/>
  </si>
  <si>
    <t>close loop gain</t>
    <phoneticPr fontId="1" type="noConversion"/>
  </si>
  <si>
    <t>open loop</t>
    <phoneticPr fontId="1" type="noConversion"/>
  </si>
  <si>
    <t>close loop</t>
    <phoneticPr fontId="1" type="noConversion"/>
  </si>
  <si>
    <t>Rin close</t>
    <phoneticPr fontId="1" type="noConversion"/>
  </si>
  <si>
    <t>Rout close</t>
    <phoneticPr fontId="1" type="noConversion"/>
  </si>
  <si>
    <t>CGD</t>
    <phoneticPr fontId="1" type="noConversion"/>
  </si>
  <si>
    <t>R1</t>
    <phoneticPr fontId="1" type="noConversion"/>
  </si>
  <si>
    <t>R2</t>
    <phoneticPr fontId="1" type="noConversion"/>
  </si>
  <si>
    <t>CA</t>
    <phoneticPr fontId="1" type="noConversion"/>
  </si>
  <si>
    <t>CB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</si>
  <si>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</si>
  <si>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</si>
  <si>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</si>
  <si>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e</t>
    <phoneticPr fontId="1" type="noConversion"/>
  </si>
  <si>
    <t>CGDN</t>
    <phoneticPr fontId="1" type="noConversion"/>
  </si>
  <si>
    <t>CGDP</t>
    <phoneticPr fontId="1" type="noConversion"/>
  </si>
  <si>
    <t>CGSN</t>
    <phoneticPr fontId="1" type="noConversion"/>
  </si>
  <si>
    <t>CGSP</t>
    <phoneticPr fontId="1" type="noConversion"/>
  </si>
  <si>
    <t>CDBN</t>
    <phoneticPr fontId="1" type="noConversion"/>
  </si>
  <si>
    <t>CDBP</t>
    <phoneticPr fontId="1" type="noConversion"/>
  </si>
  <si>
    <t>C1</t>
    <phoneticPr fontId="1" type="noConversion"/>
  </si>
  <si>
    <t>C2</t>
    <phoneticPr fontId="1" type="noConversion"/>
  </si>
  <si>
    <t>RON</t>
    <phoneticPr fontId="1" type="noConversion"/>
  </si>
  <si>
    <t>ROP</t>
    <phoneticPr fontId="1" type="noConversion"/>
  </si>
  <si>
    <t>RON||ROP</t>
    <phoneticPr fontId="1" type="noConversion"/>
  </si>
  <si>
    <t>Wz</t>
    <phoneticPr fontId="1" type="noConversion"/>
  </si>
  <si>
    <t>fz</t>
    <phoneticPr fontId="1" type="noConversion"/>
  </si>
  <si>
    <t>error</t>
    <phoneticPr fontId="1" type="noConversion"/>
  </si>
  <si>
    <t>k</t>
    <phoneticPr fontId="1" type="noConversion"/>
  </si>
  <si>
    <t>b+kd</t>
    <phoneticPr fontId="1" type="noConversion"/>
  </si>
  <si>
    <t>根號</t>
    <phoneticPr fontId="1" type="noConversion"/>
  </si>
  <si>
    <t>除2a</t>
    <phoneticPr fontId="1" type="noConversion"/>
  </si>
  <si>
    <t>|WP|</t>
    <phoneticPr fontId="1" type="noConversion"/>
  </si>
  <si>
    <t>|WP|hspice</t>
    <phoneticPr fontId="1" type="noConversion"/>
  </si>
  <si>
    <t>f</t>
    <phoneticPr fontId="1" type="noConversion"/>
  </si>
  <si>
    <t>|WP|error</t>
    <phoneticPr fontId="1" type="noConversion"/>
  </si>
  <si>
    <t>CGS</t>
    <phoneticPr fontId="1" type="noConversion"/>
  </si>
  <si>
    <t>CDB</t>
    <phoneticPr fontId="1" type="noConversion"/>
  </si>
  <si>
    <t>no resist</t>
    <phoneticPr fontId="1" type="noConversion"/>
  </si>
  <si>
    <t>gdsn</t>
    <phoneticPr fontId="1" type="noConversion"/>
  </si>
  <si>
    <t>gdsp</t>
    <phoneticPr fontId="1" type="noConversion"/>
  </si>
  <si>
    <t>cgd</t>
    <phoneticPr fontId="1" type="noConversion"/>
  </si>
  <si>
    <t>cgdn</t>
    <phoneticPr fontId="1" type="noConversion"/>
  </si>
  <si>
    <t>cgdp</t>
    <phoneticPr fontId="1" type="noConversion"/>
  </si>
  <si>
    <t>cdbn</t>
    <phoneticPr fontId="1" type="noConversion"/>
  </si>
  <si>
    <t>cdbp</t>
    <phoneticPr fontId="1" type="noConversion"/>
  </si>
  <si>
    <t>cgsn</t>
    <phoneticPr fontId="1" type="noConversion"/>
  </si>
  <si>
    <t>cgsp</t>
    <phoneticPr fontId="1" type="noConversion"/>
  </si>
  <si>
    <t>c1</t>
    <phoneticPr fontId="1" type="noConversion"/>
  </si>
  <si>
    <t>c2</t>
    <phoneticPr fontId="1" type="noConversion"/>
  </si>
  <si>
    <t>根號b2-4a</t>
    <phoneticPr fontId="1" type="noConversion"/>
  </si>
  <si>
    <t>pole 1</t>
    <phoneticPr fontId="1" type="noConversion"/>
  </si>
  <si>
    <t>pole 2</t>
    <phoneticPr fontId="1" type="noConversion"/>
  </si>
  <si>
    <t>zero(rad/sec)</t>
    <phoneticPr fontId="1" type="noConversion"/>
  </si>
  <si>
    <t>zero(hz)</t>
    <phoneticPr fontId="1" type="noConversion"/>
  </si>
  <si>
    <t xml:space="preserve"> -b/2a</t>
  </si>
  <si>
    <t>根號b2-4a /2a</t>
    <phoneticPr fontId="1" type="noConversion"/>
  </si>
  <si>
    <t>gain</t>
    <phoneticPr fontId="1" type="noConversion"/>
  </si>
  <si>
    <t>45u/0.6u (1)</t>
    <phoneticPr fontId="1" type="noConversion"/>
  </si>
  <si>
    <t>14u/0.2u (5)</t>
    <phoneticPr fontId="1" type="noConversion"/>
  </si>
  <si>
    <t>Wp/Lp (m)</t>
    <phoneticPr fontId="1" type="noConversion"/>
  </si>
  <si>
    <t>Wn/Ln (m)</t>
    <phoneticPr fontId="1" type="noConversion"/>
  </si>
  <si>
    <t>15u/0.2u (1)</t>
    <phoneticPr fontId="1" type="noConversion"/>
  </si>
  <si>
    <t>32.7u/0.5u (1)</t>
    <phoneticPr fontId="1" type="noConversion"/>
  </si>
  <si>
    <t>13u/0.18u (1)</t>
    <phoneticPr fontId="1" type="noConversion"/>
  </si>
  <si>
    <t>13.3u/0.18u (1)</t>
    <phoneticPr fontId="1" type="noConversion"/>
  </si>
  <si>
    <t>10u/0.2u (5)</t>
    <phoneticPr fontId="1" type="noConversion"/>
  </si>
  <si>
    <t>11u/0.2u (5)</t>
    <phoneticPr fontId="1" type="noConversion"/>
  </si>
  <si>
    <t>8u/0.18u (5)</t>
    <phoneticPr fontId="1" type="noConversion"/>
  </si>
  <si>
    <t>7.2u/0.18u (5)</t>
    <phoneticPr fontId="1" type="noConversion"/>
  </si>
  <si>
    <t>Fom</t>
    <phoneticPr fontId="1" type="noConversion"/>
  </si>
  <si>
    <t>current(uA)</t>
    <phoneticPr fontId="1" type="noConversion"/>
  </si>
  <si>
    <t>bw(MHz)</t>
    <phoneticPr fontId="1" type="noConversion"/>
  </si>
  <si>
    <t>gain(kΩ)</t>
    <phoneticPr fontId="1" type="noConversion"/>
  </si>
  <si>
    <t>Iin1 (uA)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</si>
</sst>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000000_ "/>
    <numFmt numFmtId="177" formatCode="0.000000000_ "/>
    <numFmt numFmtId="179" formatCode="0_ "/>
    <numFmt numFmtId="180" formatCode="0.00_ "/>
    <numFmt numFmtId="181" formatCode="0.00_);[Red]\(0.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top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0BE3-F01A-420D-A995-166D6A6165FA}">
  <dimension ref="A1:AD63"/>
  <sheetViews>
    <sheetView tabSelected="1" topLeftCell="X28" zoomScale="103" zoomScaleNormal="115" workbookViewId="0">
      <selection activeCell="AC29" sqref="AC29"/>
    </sheetView>
  </sheetViews>
  <sheetFormatPr defaultRowHeight="16.2" x14ac:dyDescent="0.3"/>
  <cols>
    <col min="2" max="2" width="14.109375" bestFit="1" customWidth="1"/>
    <col min="3" max="3" width="10.5546875" bestFit="1" customWidth="1"/>
    <col min="4" max="4" width="14.109375" bestFit="1" customWidth="1"/>
    <col min="5" max="5" width="9.88671875" bestFit="1" customWidth="1"/>
    <col min="7" max="7" width="18.88671875" bestFit="1" customWidth="1"/>
    <col min="9" max="9" width="14" bestFit="1" customWidth="1"/>
    <col min="10" max="10" width="10.44140625" bestFit="1" customWidth="1"/>
    <col min="11" max="11" width="27.44140625" bestFit="1" customWidth="1"/>
    <col min="13" max="13" width="14.44140625" bestFit="1" customWidth="1"/>
    <col min="19" max="19" width="11.77734375" bestFit="1" customWidth="1"/>
    <col min="22" max="22" width="13.33203125" bestFit="1" customWidth="1"/>
    <col min="23" max="23" width="13.33203125" customWidth="1"/>
    <col min="24" max="24" width="13" customWidth="1"/>
    <col min="25" max="25" width="13.33203125" customWidth="1"/>
    <col min="28" max="28" width="16" bestFit="1" customWidth="1"/>
    <col min="29" max="29" width="14.88671875" bestFit="1" customWidth="1"/>
    <col min="30" max="30" width="17.33203125" bestFit="1" customWidth="1"/>
  </cols>
  <sheetData>
    <row r="1" spans="2:13" x14ac:dyDescent="0.3">
      <c r="F1" t="s">
        <v>6</v>
      </c>
      <c r="G1">
        <f>0.0003338657</f>
        <v>3.338657E-4</v>
      </c>
    </row>
    <row r="2" spans="2:13" x14ac:dyDescent="0.3">
      <c r="F2" t="s">
        <v>7</v>
      </c>
      <c r="G2">
        <f>0.0007968901</f>
        <v>7.968901E-4</v>
      </c>
    </row>
    <row r="3" spans="2:13" x14ac:dyDescent="0.3">
      <c r="B3" t="s">
        <v>0</v>
      </c>
      <c r="C3">
        <f>1000</f>
        <v>1000</v>
      </c>
      <c r="F3" t="s">
        <v>8</v>
      </c>
      <c r="G3">
        <f>1/G1</f>
        <v>2995.2163399834126</v>
      </c>
      <c r="I3" t="s">
        <v>12</v>
      </c>
      <c r="J3">
        <f>0.0175094</f>
        <v>1.7509400000000001E-2</v>
      </c>
    </row>
    <row r="4" spans="2:13" x14ac:dyDescent="0.3">
      <c r="B4" t="s">
        <v>1</v>
      </c>
      <c r="C4">
        <f>50000</f>
        <v>50000</v>
      </c>
      <c r="F4" t="s">
        <v>9</v>
      </c>
      <c r="G4">
        <f>1/G2</f>
        <v>1254.8781820730362</v>
      </c>
      <c r="I4" t="s">
        <v>13</v>
      </c>
      <c r="J4">
        <f>0.0225647</f>
        <v>2.25647E-2</v>
      </c>
      <c r="L4" t="s">
        <v>6</v>
      </c>
      <c r="M4">
        <f>G1</f>
        <v>3.338657E-4</v>
      </c>
    </row>
    <row r="5" spans="2:13" x14ac:dyDescent="0.3">
      <c r="B5" t="s">
        <v>3</v>
      </c>
      <c r="C5">
        <f>1/(1/C3+1/C4)</f>
        <v>980.39215686274508</v>
      </c>
      <c r="F5" t="s">
        <v>10</v>
      </c>
      <c r="G5">
        <f>1/(1/G3+1/G4)</f>
        <v>884.36424557804605</v>
      </c>
      <c r="I5" t="s">
        <v>14</v>
      </c>
      <c r="J5">
        <f>0.000015</f>
        <v>1.5E-5</v>
      </c>
      <c r="L5" t="s">
        <v>7</v>
      </c>
      <c r="M5">
        <f>G2</f>
        <v>7.968901E-4</v>
      </c>
    </row>
    <row r="6" spans="2:13" x14ac:dyDescent="0.3">
      <c r="F6" t="s">
        <v>0</v>
      </c>
      <c r="G6">
        <f>1000</f>
        <v>1000</v>
      </c>
      <c r="I6">
        <f>(J3+J4)*G7</f>
        <v>18.807457898272528</v>
      </c>
      <c r="L6" t="s">
        <v>12</v>
      </c>
      <c r="M6">
        <f>J3</f>
        <v>1.7509400000000001E-2</v>
      </c>
    </row>
    <row r="7" spans="2:13" x14ac:dyDescent="0.3">
      <c r="B7" t="s">
        <v>4</v>
      </c>
      <c r="C7">
        <f>(C5)/((10000^2)*(C5^2)*(1E-24)+1)</f>
        <v>980.39215676851279</v>
      </c>
      <c r="F7" t="s">
        <v>11</v>
      </c>
      <c r="G7">
        <f>1/(1/G5+1/G6)</f>
        <v>469.3170376445766</v>
      </c>
      <c r="L7" t="s">
        <v>13</v>
      </c>
      <c r="M7">
        <f>J4</f>
        <v>2.25647E-2</v>
      </c>
    </row>
    <row r="8" spans="2:13" x14ac:dyDescent="0.3">
      <c r="B8" t="s">
        <v>5</v>
      </c>
      <c r="C8">
        <f>(10000*(C5^2)*0.000000000001)/((10000^2)*(C5^2)*(1E-24)+1)</f>
        <v>9.6116878114560073E-3</v>
      </c>
      <c r="I8" t="s">
        <v>17</v>
      </c>
      <c r="J8">
        <f>C9*(J3+J4)*G7</f>
        <v>18438.684213106539</v>
      </c>
      <c r="L8" t="s">
        <v>0</v>
      </c>
      <c r="M8">
        <v>1000</v>
      </c>
    </row>
    <row r="9" spans="2:13" x14ac:dyDescent="0.3">
      <c r="C9">
        <f>(C7^2+C8^2)^0.5</f>
        <v>980.39215681562894</v>
      </c>
      <c r="F9" t="s">
        <v>4</v>
      </c>
      <c r="G9">
        <f>(G7)/((10000^2)*(G7^2)*(1E-24)+1)</f>
        <v>469.31703763423945</v>
      </c>
      <c r="I9" t="s">
        <v>19</v>
      </c>
      <c r="J9">
        <f>-C9/(1+(-0.001)*J8)</f>
        <v>56.219388162255228</v>
      </c>
      <c r="L9" t="s">
        <v>15</v>
      </c>
      <c r="M9">
        <f>(M4+M5+1/M8+10000*0.000000000001)/(1/M8-(M6+M7))</f>
        <v>-5.4531410832239259E-2</v>
      </c>
    </row>
    <row r="10" spans="2:13" x14ac:dyDescent="0.3">
      <c r="F10" t="s">
        <v>5</v>
      </c>
      <c r="G10">
        <f>(10000*(G7^2)*0.000000000001)/((10000^2)*(G7^2)*(1E-24)+1)</f>
        <v>2.2025848181862952E-3</v>
      </c>
      <c r="I10" t="s">
        <v>20</v>
      </c>
      <c r="J10">
        <f>-G7/(1+(-0.001)*J8)</f>
        <v>26.912411046003573</v>
      </c>
    </row>
    <row r="11" spans="2:13" x14ac:dyDescent="0.3">
      <c r="B11" t="s">
        <v>2</v>
      </c>
      <c r="C11">
        <f>1/(0.00000001)</f>
        <v>100000000</v>
      </c>
      <c r="G11">
        <f>(G9^2+G10^2)^0.5</f>
        <v>469.317037639408</v>
      </c>
      <c r="I11" t="s">
        <v>18</v>
      </c>
      <c r="J11">
        <f>J8/(1+(-0.001*J8))</f>
        <v>-1057.343775928256</v>
      </c>
      <c r="L11" t="s">
        <v>16</v>
      </c>
      <c r="M11">
        <f>1/(M9/C5-1/M8)</f>
        <v>-947.30875541495936</v>
      </c>
    </row>
    <row r="20" spans="1:18" x14ac:dyDescent="0.3">
      <c r="C20" s="1"/>
    </row>
    <row r="21" spans="1:18" x14ac:dyDescent="0.3">
      <c r="C21" s="1"/>
      <c r="E21" s="1"/>
    </row>
    <row r="22" spans="1:18" x14ac:dyDescent="0.3">
      <c r="A22" t="s">
        <v>30</v>
      </c>
      <c r="B22" s="1">
        <v>4.5150600000000001E-14</v>
      </c>
      <c r="C22" t="s">
        <v>21</v>
      </c>
      <c r="D22" s="1">
        <f>B22+B23</f>
        <v>1.1661659999999999E-13</v>
      </c>
      <c r="E22" s="1"/>
      <c r="F22" t="s">
        <v>26</v>
      </c>
      <c r="G22" s="1">
        <f>(D23*D24*D27*D28)-(D22^2)*D23*D24</f>
        <v>1.1885501176243861E-18</v>
      </c>
    </row>
    <row r="23" spans="1:18" x14ac:dyDescent="0.3">
      <c r="A23" t="s">
        <v>31</v>
      </c>
      <c r="B23">
        <f>0.000000000000071466</f>
        <v>7.1465999999999998E-14</v>
      </c>
      <c r="C23" t="s">
        <v>22</v>
      </c>
      <c r="D23">
        <f>1/(1/B32+1/B33)</f>
        <v>469.3170376445766</v>
      </c>
      <c r="E23" s="1"/>
      <c r="F23" t="s">
        <v>27</v>
      </c>
      <c r="G23" s="1">
        <f>D23*D27+D24*D28+D22*(D25+D26)*D23*D24</f>
        <v>4.6335550689206604E-9</v>
      </c>
    </row>
    <row r="24" spans="1:18" x14ac:dyDescent="0.3">
      <c r="A24" t="s">
        <v>32</v>
      </c>
      <c r="B24">
        <f>0.000000000000454396</f>
        <v>4.5439599999999998E-13</v>
      </c>
      <c r="C24" t="s">
        <v>23</v>
      </c>
      <c r="D24">
        <f>1/(1/C5)</f>
        <v>980.39215686274508</v>
      </c>
      <c r="E24" s="1"/>
      <c r="F24" t="s">
        <v>28</v>
      </c>
      <c r="G24" s="1">
        <f>D22*D23*D24</f>
        <v>5.3657016913904439E-8</v>
      </c>
    </row>
    <row r="25" spans="1:18" x14ac:dyDescent="0.3">
      <c r="A25" t="s">
        <v>33</v>
      </c>
      <c r="B25">
        <f>0.0000000000002962187</f>
        <v>2.9621869999999998E-13</v>
      </c>
      <c r="C25" t="s">
        <v>12</v>
      </c>
      <c r="D25">
        <f>J3</f>
        <v>1.7509400000000001E-2</v>
      </c>
      <c r="F25" t="s">
        <v>29</v>
      </c>
      <c r="G25">
        <f>-(D25+D26)*D23*D24</f>
        <v>-18438.684213992674</v>
      </c>
    </row>
    <row r="26" spans="1:18" x14ac:dyDescent="0.3">
      <c r="A26" t="s">
        <v>34</v>
      </c>
      <c r="B26" s="1">
        <f>(0.0000000000001646323)-B22</f>
        <v>1.1948169999999998E-13</v>
      </c>
      <c r="C26" t="s">
        <v>13</v>
      </c>
      <c r="D26">
        <f>J4</f>
        <v>2.25647E-2</v>
      </c>
      <c r="E26" s="1"/>
      <c r="F26" t="s">
        <v>44</v>
      </c>
      <c r="G26">
        <f>-1/B33</f>
        <v>-1E-3</v>
      </c>
    </row>
    <row r="27" spans="1:18" x14ac:dyDescent="0.3">
      <c r="A27" t="s">
        <v>35</v>
      </c>
      <c r="B27">
        <f>(0.0000000000002260683)-B23</f>
        <v>1.5460229999999998E-13</v>
      </c>
      <c r="C27" t="s">
        <v>24</v>
      </c>
      <c r="D27" s="1">
        <f>(D22+B26+B27+B29)</f>
        <v>1.3907006000000001E-12</v>
      </c>
      <c r="E27" s="1"/>
      <c r="F27" t="s">
        <v>41</v>
      </c>
      <c r="G27">
        <f>-(G25/G24)</f>
        <v>343639756261.11554</v>
      </c>
      <c r="H27" t="s">
        <v>42</v>
      </c>
      <c r="I27">
        <f>G27/(2*PI())</f>
        <v>54691965851.850632</v>
      </c>
      <c r="J27" t="s">
        <v>43</v>
      </c>
      <c r="K27">
        <f>(50.9599-I27*0.000000001)/(I27*0.000000001)*100</f>
        <v>-6.8237917465977347</v>
      </c>
    </row>
    <row r="28" spans="1:18" x14ac:dyDescent="0.3">
      <c r="A28" t="s">
        <v>36</v>
      </c>
      <c r="B28">
        <f>0.000000000001</f>
        <v>9.9999999999999998E-13</v>
      </c>
      <c r="C28" t="s">
        <v>25</v>
      </c>
      <c r="D28" s="1">
        <f>(D22+B24+B25+B28)</f>
        <v>1.8672312999999999E-12</v>
      </c>
      <c r="E28" s="1"/>
    </row>
    <row r="29" spans="1:18" x14ac:dyDescent="0.3">
      <c r="A29" t="s">
        <v>37</v>
      </c>
      <c r="B29">
        <f>0.000000000001</f>
        <v>9.9999999999999998E-13</v>
      </c>
      <c r="C29" t="s">
        <v>52</v>
      </c>
      <c r="D29">
        <f>B24+B25</f>
        <v>7.5061469999999996E-13</v>
      </c>
      <c r="F29" t="s">
        <v>45</v>
      </c>
      <c r="G29" s="3">
        <f>(G23+G26*G24)</f>
        <v>4.579898052006756E-9</v>
      </c>
      <c r="H29" t="s">
        <v>47</v>
      </c>
      <c r="I29" s="1">
        <f>G29/(2*G22)</f>
        <v>1926674350.578007</v>
      </c>
      <c r="J29" t="s">
        <v>50</v>
      </c>
      <c r="K29" s="2">
        <f>I29/(2*PI())</f>
        <v>306639746.62285709</v>
      </c>
    </row>
    <row r="30" spans="1:18" x14ac:dyDescent="0.3">
      <c r="A30" t="s">
        <v>38</v>
      </c>
      <c r="B30">
        <f>G3</f>
        <v>2995.2163399834126</v>
      </c>
      <c r="C30" t="s">
        <v>53</v>
      </c>
      <c r="D30" s="1">
        <f>B26+B27</f>
        <v>2.7408399999999997E-13</v>
      </c>
      <c r="F30" t="s">
        <v>46</v>
      </c>
      <c r="G30" s="3">
        <f>((G29^2-4*G22*(1+G26*G25))*-1)^0.5</f>
        <v>8.4522148262595574E-9</v>
      </c>
      <c r="H30" t="s">
        <v>47</v>
      </c>
      <c r="I30" s="1">
        <f>G30/(2*G22)</f>
        <v>3555682970.7582784</v>
      </c>
      <c r="J30" t="s">
        <v>50</v>
      </c>
      <c r="K30" s="2">
        <f>I30/(2*PI())</f>
        <v>565904520.86385512</v>
      </c>
    </row>
    <row r="31" spans="1:18" x14ac:dyDescent="0.3">
      <c r="A31" t="s">
        <v>39</v>
      </c>
      <c r="B31">
        <f>G4</f>
        <v>1254.8781820730362</v>
      </c>
      <c r="G31" s="1"/>
      <c r="R31" t="s">
        <v>54</v>
      </c>
    </row>
    <row r="32" spans="1:18" x14ac:dyDescent="0.3">
      <c r="A32" t="s">
        <v>40</v>
      </c>
      <c r="B32">
        <f>G5</f>
        <v>884.36424557804605</v>
      </c>
      <c r="F32" t="s">
        <v>48</v>
      </c>
      <c r="G32" s="4">
        <f>(K29^2+K30^2)^0.5</f>
        <v>643642650.03422463</v>
      </c>
    </row>
    <row r="33" spans="1:30" x14ac:dyDescent="0.3">
      <c r="A33" t="s">
        <v>0</v>
      </c>
      <c r="B33">
        <f>1000</f>
        <v>1000</v>
      </c>
      <c r="F33" t="s">
        <v>49</v>
      </c>
      <c r="G33">
        <f>((297.289^2+550.939^2)^0.5)*1000000</f>
        <v>626030774.99592626</v>
      </c>
      <c r="R33" t="s">
        <v>12</v>
      </c>
      <c r="S33" s="1">
        <f>0.0175232</f>
        <v>1.7523199999999999E-2</v>
      </c>
      <c r="U33" t="s">
        <v>58</v>
      </c>
      <c r="V33">
        <f>0.0000000000000450566</f>
        <v>4.5056599999999999E-14</v>
      </c>
      <c r="X33" t="s">
        <v>57</v>
      </c>
      <c r="Y33">
        <f>V33+V34</f>
        <v>1.1657719999999999E-13</v>
      </c>
      <c r="AA33" t="s">
        <v>28</v>
      </c>
      <c r="AB33">
        <f>Y33*Y34*Y35</f>
        <v>4.8609918095866499E-6</v>
      </c>
      <c r="AC33" t="s">
        <v>69</v>
      </c>
      <c r="AD33" s="5">
        <f>-AB34/AB33</f>
        <v>340898563355.44177</v>
      </c>
    </row>
    <row r="34" spans="1:30" x14ac:dyDescent="0.3">
      <c r="F34" t="s">
        <v>51</v>
      </c>
      <c r="G34" s="1">
        <f>(-(G33-G32)/G32)*100</f>
        <v>2.736281543393976</v>
      </c>
      <c r="R34" t="s">
        <v>13</v>
      </c>
      <c r="S34">
        <f>0.0222178</f>
        <v>2.2217799999999999E-2</v>
      </c>
      <c r="U34" t="s">
        <v>59</v>
      </c>
      <c r="V34">
        <f>0.0000000000000715206</f>
        <v>7.15206E-14</v>
      </c>
      <c r="X34" t="s">
        <v>22</v>
      </c>
      <c r="Y34">
        <f>S39</f>
        <v>833.95240400123703</v>
      </c>
      <c r="AA34" t="s">
        <v>29</v>
      </c>
      <c r="AB34">
        <f>-(S33+S34)*Y34*Y35</f>
        <v>-1657105.1243706581</v>
      </c>
      <c r="AC34" t="s">
        <v>70</v>
      </c>
      <c r="AD34">
        <f>AD33/(2*PI())</f>
        <v>54255691450.944214</v>
      </c>
    </row>
    <row r="35" spans="1:30" x14ac:dyDescent="0.3">
      <c r="R35" t="s">
        <v>55</v>
      </c>
      <c r="S35">
        <f>0.000303642</f>
        <v>3.0364200000000002E-4</v>
      </c>
      <c r="U35" t="s">
        <v>60</v>
      </c>
      <c r="V35">
        <f>(0.000000000000162094)-V33</f>
        <v>1.1703740000000001E-13</v>
      </c>
      <c r="X35" t="s">
        <v>23</v>
      </c>
      <c r="Y35">
        <v>50000</v>
      </c>
      <c r="AA35" t="s">
        <v>26</v>
      </c>
      <c r="AB35" s="1">
        <f>(Y34*Y35*Y36*Y37-Y33*Y33*Y34*Y35)</f>
        <v>1.0778937979444242E-16</v>
      </c>
      <c r="AC35" t="s">
        <v>43</v>
      </c>
      <c r="AD35">
        <f>((AD34-54825800000)/AD34)*100</f>
        <v>-1.0507810956040531</v>
      </c>
    </row>
    <row r="36" spans="1:30" x14ac:dyDescent="0.3">
      <c r="R36" t="s">
        <v>56</v>
      </c>
      <c r="S36">
        <f>0.0008954672</f>
        <v>8.9546720000000001E-4</v>
      </c>
      <c r="U36" t="s">
        <v>61</v>
      </c>
      <c r="V36">
        <f>0.0000000000002297144-V34</f>
        <v>1.581938E-13</v>
      </c>
      <c r="X36" t="s">
        <v>24</v>
      </c>
      <c r="Y36" s="1">
        <f>Y33+V35+V36+V40</f>
        <v>1.3918084E-12</v>
      </c>
      <c r="AA36" t="s">
        <v>27</v>
      </c>
      <c r="AB36" s="1">
        <f>Y34*Y36+Y35*Y37+Y33*(S33+S34)*Y34*Y35</f>
        <v>2.876952824658722E-7</v>
      </c>
    </row>
    <row r="37" spans="1:30" x14ac:dyDescent="0.3">
      <c r="R37" t="s">
        <v>8</v>
      </c>
      <c r="S37">
        <f>1/S35</f>
        <v>3293.3520395729179</v>
      </c>
      <c r="U37" t="s">
        <v>62</v>
      </c>
      <c r="V37">
        <f>0.0000000000004541642</f>
        <v>4.5416420000000001E-13</v>
      </c>
      <c r="X37" t="s">
        <v>25</v>
      </c>
      <c r="Y37" s="1">
        <f>Y33+V37+V38+V39</f>
        <v>1.8670780999999999E-12</v>
      </c>
    </row>
    <row r="38" spans="1:30" x14ac:dyDescent="0.3">
      <c r="R38" t="s">
        <v>9</v>
      </c>
      <c r="S38">
        <f>1/S36</f>
        <v>1116.7354873523007</v>
      </c>
      <c r="U38" t="s">
        <v>63</v>
      </c>
      <c r="V38">
        <f>0.0000000000002963367</f>
        <v>2.9633669999999999E-13</v>
      </c>
      <c r="AA38" t="s">
        <v>71</v>
      </c>
      <c r="AB38" s="6">
        <f>AB36/(-2*AB35)</f>
        <v>-1334525177.7796464</v>
      </c>
      <c r="AC38" s="6">
        <f>AB38/(2*PI())</f>
        <v>-212396278.72422114</v>
      </c>
    </row>
    <row r="39" spans="1:30" x14ac:dyDescent="0.3">
      <c r="R39" t="s">
        <v>10</v>
      </c>
      <c r="S39">
        <f>1/(1/S37+1/S38)</f>
        <v>833.95240400123703</v>
      </c>
      <c r="U39" t="s">
        <v>64</v>
      </c>
      <c r="V39" s="1">
        <v>9.9999999999999998E-13</v>
      </c>
      <c r="AA39" t="s">
        <v>66</v>
      </c>
      <c r="AB39" s="6">
        <f>(AB36*AB36-4*AB35)^0.5</f>
        <v>2.8694497387816399E-7</v>
      </c>
      <c r="AC39" s="6"/>
    </row>
    <row r="40" spans="1:30" x14ac:dyDescent="0.3">
      <c r="U40" t="s">
        <v>65</v>
      </c>
      <c r="V40" s="1">
        <v>9.9999999999999998E-13</v>
      </c>
      <c r="AA40" t="s">
        <v>72</v>
      </c>
      <c r="AB40" s="6">
        <f>AB39/(2*AB35)</f>
        <v>1331044739.4046457</v>
      </c>
      <c r="AC40" s="6">
        <f>AB40/(2*PI())</f>
        <v>211842349.75271305</v>
      </c>
    </row>
    <row r="41" spans="1:30" x14ac:dyDescent="0.3">
      <c r="R41" t="s">
        <v>73</v>
      </c>
      <c r="S41" s="5">
        <f>(S33+S34)*50000*S39</f>
        <v>1657105.1243706581</v>
      </c>
      <c r="U41" t="s">
        <v>52</v>
      </c>
      <c r="V41">
        <f>V37+V38</f>
        <v>7.505009E-13</v>
      </c>
    </row>
    <row r="42" spans="1:30" x14ac:dyDescent="0.3">
      <c r="U42" t="s">
        <v>21</v>
      </c>
      <c r="V42">
        <f>V33+V34</f>
        <v>1.1657719999999999E-13</v>
      </c>
      <c r="AA42" t="s">
        <v>67</v>
      </c>
      <c r="AB42" s="5">
        <f>(-AB36+AB39)/(2*AB35)</f>
        <v>-3480438.3750007134</v>
      </c>
      <c r="AC42" s="5">
        <f>AB42/(2*PI())</f>
        <v>-553928.97150808724</v>
      </c>
    </row>
    <row r="43" spans="1:30" x14ac:dyDescent="0.3">
      <c r="U43" t="s">
        <v>53</v>
      </c>
      <c r="V43">
        <f>V35+V36</f>
        <v>2.7523120000000002E-13</v>
      </c>
      <c r="AA43" t="s">
        <v>68</v>
      </c>
      <c r="AB43" s="5">
        <f>(-AB36-AB39)/(2*AB35)</f>
        <v>-2665569917.1842923</v>
      </c>
      <c r="AC43" s="5">
        <f>AB43/(2*PI())</f>
        <v>-424238628.47693419</v>
      </c>
    </row>
    <row r="58" spans="18:28" x14ac:dyDescent="0.3">
      <c r="U58" s="7"/>
      <c r="V58" s="10" t="s">
        <v>90</v>
      </c>
      <c r="W58" s="11" t="s">
        <v>77</v>
      </c>
      <c r="X58" s="11" t="s">
        <v>76</v>
      </c>
      <c r="Y58" s="11" t="s">
        <v>87</v>
      </c>
      <c r="Z58" s="11" t="s">
        <v>88</v>
      </c>
      <c r="AA58" s="11" t="s">
        <v>89</v>
      </c>
      <c r="AB58" s="11" t="s">
        <v>86</v>
      </c>
    </row>
    <row r="59" spans="18:28" x14ac:dyDescent="0.3">
      <c r="R59" s="7"/>
      <c r="U59" s="7"/>
      <c r="V59" s="8">
        <v>10</v>
      </c>
      <c r="W59" s="9" t="s">
        <v>74</v>
      </c>
      <c r="X59" s="9" t="s">
        <v>75</v>
      </c>
      <c r="Y59" s="9">
        <v>1152.9000000000001</v>
      </c>
      <c r="Z59" s="9">
        <v>691.02880000000005</v>
      </c>
      <c r="AA59" s="9">
        <v>0.90185579999999999</v>
      </c>
      <c r="AB59" s="9">
        <f>Y59/(Z59*AA59)</f>
        <v>1.8499431766148677</v>
      </c>
    </row>
    <row r="60" spans="18:28" x14ac:dyDescent="0.3">
      <c r="U60" s="7"/>
      <c r="V60" s="8">
        <v>10</v>
      </c>
      <c r="W60" s="9" t="s">
        <v>78</v>
      </c>
      <c r="X60" s="9" t="s">
        <v>82</v>
      </c>
      <c r="Y60" s="9">
        <v>812.20590000000004</v>
      </c>
      <c r="Z60" s="9">
        <v>660.68230000000005</v>
      </c>
      <c r="AA60" s="9">
        <v>0.86808629999999998</v>
      </c>
      <c r="AB60" s="9">
        <f>Y60/(Z60*AA60)</f>
        <v>1.4161542682461057</v>
      </c>
    </row>
    <row r="61" spans="18:28" x14ac:dyDescent="0.3">
      <c r="U61" s="7"/>
      <c r="V61" s="8">
        <v>10</v>
      </c>
      <c r="W61" s="9" t="s">
        <v>79</v>
      </c>
      <c r="X61" s="9" t="s">
        <v>83</v>
      </c>
      <c r="Y61" s="9">
        <v>911.27840000000003</v>
      </c>
      <c r="Z61" s="9">
        <v>650.63689999999997</v>
      </c>
      <c r="AA61" s="9">
        <v>0.88415969999999999</v>
      </c>
      <c r="AB61" s="9">
        <f>Y61/(Z61*AA61)</f>
        <v>1.5840966311772438</v>
      </c>
    </row>
    <row r="62" spans="18:28" x14ac:dyDescent="0.3">
      <c r="U62" s="7"/>
      <c r="V62" s="8">
        <v>10</v>
      </c>
      <c r="W62" s="9" t="s">
        <v>80</v>
      </c>
      <c r="X62" s="9" t="s">
        <v>84</v>
      </c>
      <c r="Y62" s="9">
        <v>833.35950000000003</v>
      </c>
      <c r="Z62" s="9">
        <v>664.2011</v>
      </c>
      <c r="AA62" s="9">
        <v>0.85915030000000003</v>
      </c>
      <c r="AB62" s="9">
        <f>Y62/(Z62*AA62)</f>
        <v>1.4603725260950129</v>
      </c>
    </row>
    <row r="63" spans="18:28" x14ac:dyDescent="0.3">
      <c r="U63" s="7"/>
      <c r="V63" s="8">
        <v>10</v>
      </c>
      <c r="W63" s="9" t="s">
        <v>81</v>
      </c>
      <c r="X63" s="9" t="s">
        <v>85</v>
      </c>
      <c r="Y63" s="9">
        <v>797.00909999999999</v>
      </c>
      <c r="Z63" s="9">
        <v>650.99120000000005</v>
      </c>
      <c r="AA63" s="9">
        <v>0.85455219999999998</v>
      </c>
      <c r="AB63" s="9">
        <f>Y63/(Z63*AA63)</f>
        <v>1.4326812118517391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立珩 陳</dc:creator>
  <cp:lastModifiedBy>立珩 陳</cp:lastModifiedBy>
  <dcterms:created xsi:type="dcterms:W3CDTF">2024-05-08T09:34:27Z</dcterms:created>
  <dcterms:modified xsi:type="dcterms:W3CDTF">2024-05-11T17:18:39Z</dcterms:modified>
</cp:coreProperties>
</file>