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723" activeTab="7"/>
  </bookViews>
  <sheets>
    <sheet name="About" sheetId="13" r:id="rId1"/>
    <sheet name="Grid Side Projects" sheetId="11" r:id="rId2"/>
    <sheet name="CEC Annual" sheetId="14" r:id="rId3"/>
    <sheet name="CNESA" sheetId="1" r:id="rId4"/>
    <sheet name="Past" sheetId="2" r:id="rId5"/>
    <sheet name="2019 Scenario" sheetId="17" r:id="rId6"/>
    <sheet name="CN ST Forecast" sheetId="4" r:id="rId7"/>
    <sheet name="CN LT Forecast" sheetId="15" r:id="rId8"/>
    <sheet name="BGBSC" sheetId="5" r:id="rId9"/>
    <sheet name="PAGBSC" sheetId="7" r:id="rId10"/>
    <sheet name="SYGBSC" sheetId="8" r:id="rId11"/>
  </sheets>
  <externalReferences>
    <externalReference r:id="rId12"/>
  </externalReferences>
  <definedNames>
    <definedName name="billion_kw_to_MW">#REF!</definedName>
    <definedName name="gigwatt_to_megawatt">#REF!</definedName>
    <definedName name="gigwatts_to_megawatts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Percent_rural">#REF!</definedName>
    <definedName name="Percent_Urba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<sst xmlns="http://schemas.openxmlformats.org/spreadsheetml/2006/main" count="526" uniqueCount="298">
  <si>
    <t>Grid Battery Storage Capacities</t>
  </si>
  <si>
    <t>Sources:</t>
  </si>
  <si>
    <t>Current Grid Side Battery Storage Projects</t>
  </si>
  <si>
    <t>Near term deployment and technology breakdown</t>
  </si>
  <si>
    <t>Bei Ji Xing</t>
  </si>
  <si>
    <t>中关村产业联盟 CNESA</t>
  </si>
  <si>
    <t>Grid Side Battery Storage List 2020</t>
  </si>
  <si>
    <t>2016-2021</t>
  </si>
  <si>
    <t>Annual Energy Storage Whitebook</t>
  </si>
  <si>
    <t>电网侧储能57项目总储能规模超1.98GWh</t>
  </si>
  <si>
    <t>研究报告_CNESA 储能研究平台 (esresearch.com.cn)</t>
  </si>
  <si>
    <t>Energy Storage Pilot Projects</t>
  </si>
  <si>
    <t>Annual Power Storage Station Statistics</t>
  </si>
  <si>
    <t>Shandong Bureau</t>
  </si>
  <si>
    <t>中国电力企业联合会 China Electricity Council</t>
  </si>
  <si>
    <t xml:space="preserve">Energy Storage Pilot Projects </t>
  </si>
  <si>
    <t>年度电化学储能电站行业统计数据</t>
  </si>
  <si>
    <t>2021, 2022</t>
  </si>
  <si>
    <t>2022，2023H1, 2023</t>
  </si>
  <si>
    <t>2021 Pilot Projects</t>
  </si>
  <si>
    <t>https://news.bjx.com.cn/html/20230404/1298853.shtml</t>
  </si>
  <si>
    <t>2022 Pilot Projects</t>
  </si>
  <si>
    <t>https://mp.weixin.qq.com/s/0SpFZCc7TUlFJ385_6LQZgg</t>
  </si>
  <si>
    <t>References for future deployment projectsion</t>
  </si>
  <si>
    <t>ECO Gov China</t>
  </si>
  <si>
    <t>《储能产业研究白皮书2022》发布：2021年中国新型储能新增投运2.4GW/4.9GWh - 生态中国网 (eco.gov.cn)</t>
  </si>
  <si>
    <t>国家发改委，国家能源局</t>
  </si>
  <si>
    <t>关于加快推动新型储能发展的指导意见</t>
  </si>
  <si>
    <t>国家发展改革委 国家能源局关于加快推动新型储能发展的指导意见_其他_中国政府网 (www.gov.cn)</t>
  </si>
  <si>
    <t>坚决扛牢电网责任 积极推进碳达峰碳中和</t>
  </si>
  <si>
    <t>坚决扛牢电网责任 积极推进碳达峰碳中和 (people.com.cn)</t>
  </si>
  <si>
    <t>Notes</t>
  </si>
  <si>
    <t>We view all electrochemical energy storage as battery storages in this variable, this means excluding pumped hydro, compressed air and flywheel</t>
  </si>
  <si>
    <t>The projected capacity for Shandong is scaled down from the projection of battery capacity for China, using the estimated power demand of China and Shandong between 2020 and 2060</t>
  </si>
  <si>
    <r>
      <rPr>
        <b/>
        <sz val="10"/>
        <rFont val="Microsoft YaHei"/>
        <charset val="134"/>
      </rPr>
      <t>储能项目名称</t>
    </r>
  </si>
  <si>
    <r>
      <rPr>
        <b/>
        <sz val="10"/>
        <rFont val="Microsoft YaHei"/>
        <charset val="134"/>
      </rPr>
      <t>储能规模</t>
    </r>
  </si>
  <si>
    <r>
      <rPr>
        <b/>
        <sz val="10"/>
        <rFont val="Microsoft YaHei"/>
        <charset val="134"/>
      </rPr>
      <t>参与企业</t>
    </r>
  </si>
  <si>
    <t>Province</t>
  </si>
  <si>
    <t>MW</t>
  </si>
  <si>
    <t>MWh</t>
  </si>
  <si>
    <r>
      <rPr>
        <sz val="10"/>
        <rFont val="Microsoft YaHei"/>
        <charset val="134"/>
      </rPr>
      <t>江苏建山储能电站</t>
    </r>
  </si>
  <si>
    <t>5MW/10MWh</t>
  </si>
  <si>
    <t>国网江苏综能</t>
  </si>
  <si>
    <t>江苏</t>
  </si>
  <si>
    <r>
      <rPr>
        <sz val="10"/>
        <rFont val="Microsoft YaHei"/>
        <charset val="134"/>
      </rPr>
      <t>江苏丹阳储能电站</t>
    </r>
  </si>
  <si>
    <t>12MW/24MWh</t>
  </si>
  <si>
    <t>福建</t>
  </si>
  <si>
    <r>
      <rPr>
        <sz val="10"/>
        <rFont val="Microsoft YaHei"/>
        <charset val="134"/>
      </rPr>
      <t>江苏大港储能电站</t>
    </r>
  </si>
  <si>
    <t>16MW/32MWh</t>
  </si>
  <si>
    <t>河南</t>
  </si>
  <si>
    <r>
      <rPr>
        <sz val="10"/>
        <rFont val="Microsoft YaHei"/>
        <charset val="134"/>
      </rPr>
      <t>江苏五峰山储能电站</t>
    </r>
  </si>
  <si>
    <t>24MW/48MWh</t>
  </si>
  <si>
    <r>
      <rPr>
        <sz val="10"/>
        <rFont val="Microsoft YaHei"/>
        <charset val="134"/>
      </rPr>
      <t>许继集团</t>
    </r>
  </si>
  <si>
    <t>湖南</t>
  </si>
  <si>
    <r>
      <rPr>
        <sz val="10"/>
        <rFont val="Microsoft YaHei"/>
        <charset val="134"/>
      </rPr>
      <t>江苏三跃储能电站</t>
    </r>
  </si>
  <si>
    <t>10MW/20MWh</t>
  </si>
  <si>
    <t>青海</t>
  </si>
  <si>
    <r>
      <rPr>
        <sz val="10"/>
        <rFont val="Microsoft YaHei"/>
        <charset val="134"/>
      </rPr>
      <t>江苏扬州储能电站</t>
    </r>
  </si>
  <si>
    <t>17.64MW/30.8MWh</t>
  </si>
  <si>
    <t>广东</t>
  </si>
  <si>
    <r>
      <rPr>
        <sz val="10"/>
        <rFont val="Microsoft YaHei"/>
        <charset val="134"/>
      </rPr>
      <t>江苏北山储能电站</t>
    </r>
  </si>
  <si>
    <r>
      <rPr>
        <sz val="10"/>
        <rFont val="Microsoft YaHei"/>
        <charset val="134"/>
      </rPr>
      <t>山东电工</t>
    </r>
    <r>
      <rPr>
        <sz val="10"/>
        <rFont val="宋体"/>
        <charset val="134"/>
      </rPr>
      <t>电气</t>
    </r>
  </si>
  <si>
    <t>浙江</t>
  </si>
  <si>
    <r>
      <rPr>
        <sz val="10"/>
        <rFont val="Microsoft YaHei"/>
        <charset val="134"/>
      </rPr>
      <t>江苏新坝储能电站</t>
    </r>
  </si>
  <si>
    <t>北京</t>
  </si>
  <si>
    <r>
      <rPr>
        <sz val="10"/>
        <rFont val="Microsoft YaHei"/>
        <charset val="134"/>
      </rPr>
      <t>江苏长旺储能电站</t>
    </r>
  </si>
  <si>
    <t>8MW/16MWh</t>
  </si>
  <si>
    <t>天津</t>
  </si>
  <si>
    <r>
      <rPr>
        <sz val="10"/>
        <rFont val="Microsoft YaHei"/>
        <charset val="134"/>
      </rPr>
      <t>江苏苏州张家港乐余储能电站</t>
    </r>
  </si>
  <si>
    <t>20.16MW/35MWh</t>
  </si>
  <si>
    <t>河北</t>
  </si>
  <si>
    <r>
      <rPr>
        <sz val="10"/>
        <rFont val="Microsoft YaHei"/>
        <charset val="134"/>
      </rPr>
      <t>江苏苏州常熟任阳储能电站</t>
    </r>
  </si>
  <si>
    <t>7.56MW/13.2MWh</t>
  </si>
  <si>
    <r>
      <rPr>
        <sz val="10"/>
        <rFont val="Microsoft YaHei"/>
        <charset val="134"/>
      </rPr>
      <t>江苏南京江北储能电站</t>
    </r>
  </si>
  <si>
    <t>35.28MW/61.6MWh</t>
  </si>
  <si>
    <r>
      <rPr>
        <sz val="10"/>
        <rFont val="Microsoft YaHei"/>
        <charset val="134"/>
      </rPr>
      <t>平高集团</t>
    </r>
  </si>
  <si>
    <t>江苏南京江北梯次利用储能电站</t>
  </si>
  <si>
    <t>20MW/75MWh</t>
  </si>
  <si>
    <r>
      <rPr>
        <sz val="10"/>
        <rFont val="Microsoft YaHei"/>
        <charset val="134"/>
      </rPr>
      <t>江苏南京江北梯次利用储能电站</t>
    </r>
  </si>
  <si>
    <r>
      <rPr>
        <sz val="10"/>
        <rFont val="Microsoft YaHei"/>
        <charset val="134"/>
      </rPr>
      <t>江苏苏州昆山储能电站</t>
    </r>
  </si>
  <si>
    <t>110.88MW/193.6MWh</t>
  </si>
  <si>
    <r>
      <rPr>
        <sz val="10"/>
        <rFont val="Microsoft YaHei"/>
        <charset val="134"/>
      </rPr>
      <t>江苏盐城大丰庆生渡储能电站</t>
    </r>
  </si>
  <si>
    <t>27.72MW/48.4MWh</t>
  </si>
  <si>
    <r>
      <rPr>
        <sz val="10"/>
        <rFont val="Microsoft YaHei"/>
        <charset val="134"/>
      </rPr>
      <t>江苏盐城大丰西团储能电站</t>
    </r>
  </si>
  <si>
    <t>22.68MW/39.6MWh</t>
  </si>
  <si>
    <r>
      <rPr>
        <sz val="10"/>
        <rFont val="Microsoft YaHei"/>
        <charset val="134"/>
      </rPr>
      <t>江苏淮安金湖戴楼镇官塘储能电站</t>
    </r>
  </si>
  <si>
    <t>15.12MW/26.4MWh</t>
  </si>
  <si>
    <r>
      <rPr>
        <sz val="10"/>
        <rFont val="Microsoft YaHei"/>
        <charset val="134"/>
      </rPr>
      <t>国网综能</t>
    </r>
  </si>
  <si>
    <r>
      <rPr>
        <sz val="10"/>
        <rFont val="Microsoft YaHei"/>
        <charset val="134"/>
      </rPr>
      <t>江苏淮安金湖银涂镇红湖储能电站</t>
    </r>
  </si>
  <si>
    <t>40.32MW/70.4MWh</t>
  </si>
  <si>
    <r>
      <rPr>
        <sz val="10"/>
        <rFont val="Microsoft YaHei"/>
        <charset val="134"/>
      </rPr>
      <t>河南汤阴变储能电站</t>
    </r>
  </si>
  <si>
    <t>100.8MW/100.8MWh</t>
  </si>
  <si>
    <r>
      <rPr>
        <sz val="10"/>
        <rFont val="Microsoft YaHei"/>
        <charset val="134"/>
      </rPr>
      <t>河南兰考变储能电站</t>
    </r>
  </si>
  <si>
    <r>
      <rPr>
        <sz val="10"/>
        <rFont val="Microsoft YaHei"/>
        <charset val="134"/>
      </rPr>
      <t>河南庞屯变储能电站</t>
    </r>
  </si>
  <si>
    <r>
      <rPr>
        <sz val="10"/>
        <rFont val="Microsoft YaHei"/>
        <charset val="134"/>
      </rPr>
      <t>河南</t>
    </r>
    <r>
      <rPr>
        <sz val="10"/>
        <rFont val="宋体"/>
        <charset val="134"/>
      </rPr>
      <t>漯河</t>
    </r>
    <r>
      <rPr>
        <sz val="10"/>
        <rFont val="Microsoft YaHei"/>
        <charset val="134"/>
      </rPr>
      <t>变储能电站</t>
    </r>
  </si>
  <si>
    <r>
      <rPr>
        <sz val="10"/>
        <rFont val="Microsoft YaHei"/>
        <charset val="134"/>
      </rPr>
      <t>河南干河陈变储能电站</t>
    </r>
  </si>
  <si>
    <r>
      <rPr>
        <sz val="10"/>
        <rFont val="宋体"/>
        <charset val="134"/>
      </rPr>
      <t>河南郊县变储能电站</t>
    </r>
  </si>
  <si>
    <r>
      <rPr>
        <sz val="10"/>
        <rFont val="Microsoft YaHei"/>
        <charset val="134"/>
      </rPr>
      <t>河南</t>
    </r>
    <r>
      <rPr>
        <sz val="10"/>
        <rFont val="宋体"/>
        <charset val="134"/>
      </rPr>
      <t>趔</t>
    </r>
    <r>
      <rPr>
        <sz val="10"/>
        <rFont val="Microsoft YaHei"/>
        <charset val="134"/>
      </rPr>
      <t>山变储能电站</t>
    </r>
  </si>
  <si>
    <r>
      <rPr>
        <sz val="10"/>
        <rFont val="Microsoft YaHei"/>
        <charset val="134"/>
      </rPr>
      <t>河南温庄变储能电站</t>
    </r>
  </si>
  <si>
    <r>
      <rPr>
        <sz val="10"/>
        <rFont val="Microsoft YaHei"/>
        <charset val="134"/>
      </rPr>
      <t>河南洪门变储能电站</t>
    </r>
  </si>
  <si>
    <r>
      <rPr>
        <sz val="10"/>
        <rFont val="Microsoft YaHei"/>
        <charset val="134"/>
      </rPr>
      <t>河南五里墩变储能电站</t>
    </r>
  </si>
  <si>
    <r>
      <rPr>
        <sz val="10"/>
        <rFont val="Microsoft YaHei"/>
        <charset val="134"/>
      </rPr>
      <t>河南息县变储能电站</t>
    </r>
  </si>
  <si>
    <r>
      <rPr>
        <sz val="10"/>
        <rFont val="Microsoft YaHei"/>
        <charset val="134"/>
      </rPr>
      <t>河南许昌变储能电站</t>
    </r>
  </si>
  <si>
    <r>
      <rPr>
        <sz val="10"/>
        <rFont val="Microsoft YaHei"/>
        <charset val="134"/>
      </rPr>
      <t>河南平安变储能电站</t>
    </r>
  </si>
  <si>
    <r>
      <rPr>
        <sz val="10"/>
        <rFont val="Microsoft YaHei"/>
        <charset val="134"/>
      </rPr>
      <t>河南潘庄变储能电站</t>
    </r>
  </si>
  <si>
    <r>
      <rPr>
        <sz val="10"/>
        <rFont val="Microsoft YaHei"/>
        <charset val="134"/>
      </rPr>
      <t>河南黄龙变储能电站</t>
    </r>
  </si>
  <si>
    <r>
      <rPr>
        <sz val="10"/>
        <rFont val="Microsoft YaHei"/>
        <charset val="134"/>
      </rPr>
      <t>河南龙山变储能电站</t>
    </r>
  </si>
  <si>
    <r>
      <rPr>
        <sz val="10"/>
        <rFont val="Microsoft YaHei"/>
        <charset val="134"/>
      </rPr>
      <t>湖南长沙榔梨储能电站</t>
    </r>
  </si>
  <si>
    <t>国网湖南综能</t>
  </si>
  <si>
    <r>
      <rPr>
        <sz val="10"/>
        <rFont val="Microsoft YaHei"/>
        <charset val="134"/>
      </rPr>
      <t>湖南长沙延农储能电站</t>
    </r>
  </si>
  <si>
    <r>
      <rPr>
        <sz val="10"/>
        <rFont val="Microsoft YaHei"/>
        <charset val="134"/>
      </rPr>
      <t>湖南长沙芙蓉储能电站</t>
    </r>
  </si>
  <si>
    <t>26MW/52MWh</t>
  </si>
  <si>
    <r>
      <rPr>
        <sz val="10"/>
        <rFont val="Microsoft YaHei"/>
        <charset val="134"/>
      </rPr>
      <t>青海格尔木美满储能电站</t>
    </r>
  </si>
  <si>
    <t>16MW/64MWh</t>
  </si>
  <si>
    <r>
      <rPr>
        <sz val="10"/>
        <rFont val="Microsoft YaHei"/>
        <charset val="134"/>
      </rPr>
      <t>国网青海</t>
    </r>
  </si>
  <si>
    <r>
      <rPr>
        <sz val="10"/>
        <rFont val="Microsoft YaHei"/>
        <charset val="134"/>
      </rPr>
      <t>福建晋江储能电站试点示范项目</t>
    </r>
  </si>
  <si>
    <t>30MW/100MWh</t>
  </si>
  <si>
    <r>
      <rPr>
        <sz val="10"/>
        <rFont val="Microsoft YaHei"/>
        <charset val="134"/>
      </rPr>
      <t>福建省投资</t>
    </r>
  </si>
  <si>
    <r>
      <rPr>
        <sz val="10"/>
        <rFont val="Microsoft YaHei"/>
        <charset val="134"/>
      </rPr>
      <t>国网时代漳浦储能电站</t>
    </r>
  </si>
  <si>
    <t>150MW/300MWh</t>
  </si>
  <si>
    <r>
      <rPr>
        <sz val="10"/>
        <rFont val="Microsoft YaHei"/>
        <charset val="134"/>
      </rPr>
      <t>国网时代</t>
    </r>
  </si>
  <si>
    <r>
      <rPr>
        <sz val="10"/>
        <rFont val="Microsoft YaHei"/>
        <charset val="134"/>
      </rPr>
      <t>国网时代福清储能电站</t>
    </r>
  </si>
  <si>
    <r>
      <rPr>
        <sz val="10"/>
        <rFont val="Microsoft YaHei"/>
        <charset val="134"/>
      </rPr>
      <t>浙江宁波</t>
    </r>
    <r>
      <rPr>
        <sz val="10"/>
        <rFont val="Arial"/>
        <charset val="134"/>
      </rPr>
      <t>110KV</t>
    </r>
    <r>
      <rPr>
        <sz val="10"/>
        <rFont val="Microsoft YaHei"/>
        <charset val="134"/>
      </rPr>
      <t>越瓷变储能</t>
    </r>
  </si>
  <si>
    <t>6MW/8.4MWh</t>
  </si>
  <si>
    <r>
      <rPr>
        <sz val="10"/>
        <rFont val="Microsoft YaHei"/>
        <charset val="134"/>
      </rPr>
      <t>华云能源</t>
    </r>
  </si>
  <si>
    <r>
      <rPr>
        <sz val="10"/>
        <rFont val="Microsoft YaHei"/>
        <charset val="134"/>
      </rPr>
      <t>浙江杭州</t>
    </r>
    <r>
      <rPr>
        <sz val="10"/>
        <rFont val="Arial"/>
        <charset val="134"/>
      </rPr>
      <t>110KV</t>
    </r>
    <r>
      <rPr>
        <sz val="10"/>
        <rFont val="Microsoft YaHei"/>
        <charset val="134"/>
      </rPr>
      <t>江虹变储能</t>
    </r>
  </si>
  <si>
    <t>4MW/12.8MWh</t>
  </si>
  <si>
    <r>
      <rPr>
        <sz val="10"/>
        <rFont val="Microsoft YaHei"/>
        <charset val="134"/>
      </rPr>
      <t>浙江湖州</t>
    </r>
    <r>
      <rPr>
        <sz val="10"/>
        <rFont val="Arial"/>
        <charset val="134"/>
      </rPr>
      <t>110kW</t>
    </r>
    <r>
      <rPr>
        <sz val="10"/>
        <rFont val="Microsoft YaHei"/>
        <charset val="134"/>
      </rPr>
      <t>金陵变储能</t>
    </r>
  </si>
  <si>
    <r>
      <rPr>
        <sz val="10"/>
        <rFont val="Microsoft YaHei"/>
        <charset val="134"/>
      </rPr>
      <t>浙江衢州灰坪乡大麦源村储能</t>
    </r>
  </si>
  <si>
    <t>30KW/450KWh</t>
  </si>
  <si>
    <t>国网浙江综能</t>
  </si>
  <si>
    <r>
      <rPr>
        <sz val="10"/>
        <rFont val="微软雅黑"/>
        <charset val="134"/>
      </rPr>
      <t>浙江慈溪</t>
    </r>
    <r>
      <rPr>
        <sz val="10"/>
        <rFont val="宋体"/>
        <charset val="134"/>
      </rPr>
      <t>掌起</t>
    </r>
    <r>
      <rPr>
        <sz val="10"/>
        <rFont val="微软雅黑"/>
        <charset val="134"/>
      </rPr>
      <t>万洋众创城梯次利用电网侧储能</t>
    </r>
  </si>
  <si>
    <t>20kW/44.22kWh</t>
  </si>
  <si>
    <r>
      <rPr>
        <sz val="10"/>
        <rFont val="Microsoft YaHei"/>
        <charset val="134"/>
      </rPr>
      <t>北京怀柔科学城储能一期</t>
    </r>
  </si>
  <si>
    <t>国网北京电力公司</t>
  </si>
  <si>
    <r>
      <rPr>
        <sz val="10"/>
        <rFont val="Microsoft YaHei"/>
        <charset val="134"/>
      </rPr>
      <t>北京冬奥会场馆储能电站</t>
    </r>
  </si>
  <si>
    <t>14MW/14MWh</t>
  </si>
  <si>
    <r>
      <rPr>
        <sz val="10"/>
        <rFont val="Microsoft YaHei"/>
        <charset val="134"/>
      </rPr>
      <t>青海格尔木电网侧共享储能项目</t>
    </r>
  </si>
  <si>
    <t>32MW/64MWh</t>
  </si>
  <si>
    <r>
      <rPr>
        <sz val="10"/>
        <rFont val="Microsoft YaHei"/>
        <charset val="134"/>
      </rPr>
      <t>上海电气</t>
    </r>
  </si>
  <si>
    <r>
      <rPr>
        <sz val="10"/>
        <rFont val="微软雅黑"/>
        <charset val="134"/>
      </rPr>
      <t>天津智慧能源小镇创新示范</t>
    </r>
    <r>
      <rPr>
        <sz val="10"/>
        <rFont val="宋体"/>
        <charset val="134"/>
      </rPr>
      <t>工</t>
    </r>
    <r>
      <rPr>
        <sz val="10"/>
        <rFont val="微软雅黑"/>
        <charset val="134"/>
      </rPr>
      <t>程中新生态城电网侧储能</t>
    </r>
  </si>
  <si>
    <t>10MW/10MWh</t>
  </si>
  <si>
    <t>河北秦皇岛北戴河新区10千伏蒲河电网侧储能</t>
  </si>
  <si>
    <t>2MW/4MWh</t>
  </si>
  <si>
    <t>国网冀北电力</t>
  </si>
  <si>
    <t>东莞松木山（巷尾）110kV变电站储能项目</t>
  </si>
  <si>
    <r>
      <rPr>
        <sz val="10"/>
        <rFont val="Microsoft YaHei"/>
        <charset val="134"/>
      </rPr>
      <t>东莞港区</t>
    </r>
    <r>
      <rPr>
        <sz val="10"/>
        <rFont val="Arial"/>
        <charset val="134"/>
      </rPr>
      <t>110kV</t>
    </r>
    <r>
      <rPr>
        <sz val="10"/>
        <rFont val="Microsoft YaHei"/>
        <charset val="134"/>
      </rPr>
      <t>变电站侧电池储能</t>
    </r>
  </si>
  <si>
    <r>
      <rPr>
        <sz val="10"/>
        <rFont val="Microsoft YaHei"/>
        <charset val="134"/>
      </rPr>
      <t>深圳宝清电池储能站扩建项目</t>
    </r>
  </si>
  <si>
    <t>4MW/4MWh</t>
  </si>
  <si>
    <r>
      <rPr>
        <sz val="10"/>
        <rFont val="微软雅黑"/>
        <charset val="134"/>
      </rPr>
      <t>深圳供电局</t>
    </r>
    <r>
      <rPr>
        <sz val="10"/>
        <rFont val="Arial"/>
        <charset val="134"/>
      </rPr>
      <t>110kV</t>
    </r>
    <r>
      <rPr>
        <sz val="10"/>
        <rFont val="微软雅黑"/>
        <charset val="134"/>
      </rPr>
      <t>潭头变电站电池储能</t>
    </r>
  </si>
  <si>
    <r>
      <rPr>
        <sz val="10"/>
        <rFont val="Microsoft YaHei"/>
        <charset val="134"/>
      </rPr>
      <t>深圳供电局</t>
    </r>
  </si>
  <si>
    <t>广州供电局从化白兔变电站退役电池梯级利用储能示范工程</t>
  </si>
  <si>
    <t>187kW/1.87MWh</t>
  </si>
  <si>
    <r>
      <rPr>
        <sz val="10"/>
        <rFont val="Microsoft YaHei"/>
        <charset val="134"/>
      </rPr>
      <t>广州供电局</t>
    </r>
  </si>
  <si>
    <t>电站装机情况</t>
  </si>
  <si>
    <t>2021E</t>
  </si>
  <si>
    <t>2023H1</t>
  </si>
  <si>
    <t>Registered</t>
  </si>
  <si>
    <t>Sites</t>
  </si>
  <si>
    <t>Capacity (GW)</t>
  </si>
  <si>
    <t>Energy (GWh)</t>
  </si>
  <si>
    <t>Average (MW)</t>
  </si>
  <si>
    <t>Ratio (Hour)</t>
  </si>
  <si>
    <t>Operating</t>
  </si>
  <si>
    <t>Stopped</t>
  </si>
  <si>
    <t>Operating &amp; Stopped</t>
  </si>
  <si>
    <t>Construction</t>
  </si>
  <si>
    <t xml:space="preserve"> </t>
  </si>
  <si>
    <t>Addition</t>
  </si>
  <si>
    <t>Regional Statistics</t>
  </si>
  <si>
    <t>2022 Top10 Addition</t>
  </si>
  <si>
    <t>Capacity(MW)</t>
  </si>
  <si>
    <t>2022 Addition</t>
  </si>
  <si>
    <t>2022 Total</t>
  </si>
  <si>
    <t>2023 Addition</t>
  </si>
  <si>
    <t>2023 Total</t>
  </si>
  <si>
    <t>宁夏回族自治区</t>
  </si>
  <si>
    <t>内蒙古自治区</t>
  </si>
  <si>
    <t>山东省</t>
  </si>
  <si>
    <t>甘肃省</t>
  </si>
  <si>
    <t>河北省</t>
  </si>
  <si>
    <t>湖南省</t>
  </si>
  <si>
    <t>新疆维吾尔自治区</t>
  </si>
  <si>
    <t>辽宁省</t>
  </si>
  <si>
    <t>湖北省</t>
  </si>
  <si>
    <t>青海省</t>
  </si>
  <si>
    <t>安徽省</t>
  </si>
  <si>
    <t>贵州省</t>
  </si>
  <si>
    <t>浙江省</t>
  </si>
  <si>
    <t>广西省</t>
  </si>
  <si>
    <t>江苏省</t>
  </si>
  <si>
    <t>西藏自治区</t>
  </si>
  <si>
    <t>广东省</t>
  </si>
  <si>
    <t>2022 Top 10 Cumulative</t>
  </si>
  <si>
    <t>Year</t>
  </si>
  <si>
    <t>All Storages Capacity (MW)</t>
  </si>
  <si>
    <t>Total</t>
  </si>
  <si>
    <t>Pumped Hydro 抽水蓄能</t>
  </si>
  <si>
    <t>Molten Salt 熔融盐</t>
  </si>
  <si>
    <t>Noval Energy Storage 新型储能</t>
  </si>
  <si>
    <t>Compressed Air 压缩空气储能</t>
  </si>
  <si>
    <t>Flywheel 飞轮储能</t>
  </si>
  <si>
    <t>Electrochemical 电化学储能</t>
  </si>
  <si>
    <t xml:space="preserve">   Lithium Ion 锂离子电池储能</t>
  </si>
  <si>
    <t xml:space="preserve">   Lead Acid 铅蓄电池</t>
  </si>
  <si>
    <t xml:space="preserve">   Flow Battery 液流电池</t>
  </si>
  <si>
    <t xml:space="preserve">   Supercapacitator 超级电容</t>
  </si>
  <si>
    <t xml:space="preserve">   Other 其他</t>
  </si>
  <si>
    <t>Alternative Energy Storage</t>
  </si>
  <si>
    <t>Pumped Hydro</t>
  </si>
  <si>
    <t>Electrochemical/Noval Energy Storage</t>
  </si>
  <si>
    <t>Molten Salt</t>
  </si>
  <si>
    <t>Compressed Air</t>
  </si>
  <si>
    <t>Flywheel</t>
  </si>
  <si>
    <t>Electrochemical</t>
  </si>
  <si>
    <t>Lithium Ion</t>
  </si>
  <si>
    <t>Lead Acid</t>
  </si>
  <si>
    <t>Flow Battery</t>
  </si>
  <si>
    <t>Supercapacitator</t>
  </si>
  <si>
    <t>Other</t>
  </si>
  <si>
    <t>Forecasts</t>
  </si>
  <si>
    <t>2024 Conservative</t>
  </si>
  <si>
    <t>2024 Aggressive</t>
  </si>
  <si>
    <t>2023 Conservative</t>
  </si>
  <si>
    <t>2023 Aggressive</t>
  </si>
  <si>
    <t>2022 Conservative</t>
  </si>
  <si>
    <t>2022 Aggressive</t>
  </si>
  <si>
    <t>2021 Conservative</t>
  </si>
  <si>
    <t>2021 Aggressive</t>
  </si>
  <si>
    <t>2020 Conservative</t>
  </si>
  <si>
    <t>2020 Aggressive</t>
  </si>
  <si>
    <t>2019 Projection</t>
  </si>
  <si>
    <t>Grid Scale Storage</t>
  </si>
  <si>
    <t>电源侧</t>
  </si>
  <si>
    <t>电网侧</t>
  </si>
  <si>
    <t>BAU</t>
  </si>
  <si>
    <t>BGBSC</t>
  </si>
  <si>
    <t>用户侧</t>
  </si>
  <si>
    <t>Total Alternative</t>
  </si>
  <si>
    <t>Potential</t>
  </si>
  <si>
    <t>PGSC</t>
  </si>
  <si>
    <t>PAGSC</t>
  </si>
  <si>
    <t>Source: IEA. Licence: CC BY 4.0</t>
  </si>
  <si>
    <t>This data is subject to the IEA's terms and conditions: https://www.iea.org/t_c/termsandconditions/</t>
  </si>
  <si>
    <t>Units: GW</t>
  </si>
  <si>
    <t>China</t>
  </si>
  <si>
    <t>United States</t>
  </si>
  <si>
    <t>Europe</t>
  </si>
  <si>
    <t>South Korea</t>
  </si>
  <si>
    <t>Japan</t>
  </si>
  <si>
    <t>Rest of the world</t>
  </si>
  <si>
    <t>2021年新增</t>
  </si>
  <si>
    <t>支持可再生能源并网</t>
  </si>
  <si>
    <t>辅助服务</t>
  </si>
  <si>
    <t>大容量能源服务</t>
  </si>
  <si>
    <t>输电基础设施服务</t>
  </si>
  <si>
    <t>配电基础设施服务</t>
  </si>
  <si>
    <t>用户能源管理服务</t>
  </si>
  <si>
    <t>合计</t>
  </si>
  <si>
    <t>2021年新增项目比例</t>
  </si>
  <si>
    <t>截至2021年底，全国储能装机规模达到4266万千瓦，其中新型储能装机626.8万千瓦，同比增长56.4%;</t>
  </si>
  <si>
    <t>新型储能中90%为电化学储能。截至2021年底，电源侧、用户侧、电网侧储能装机占比分别为49.7%、27.4%和22.9%，电源侧储能接近装机的一半。</t>
  </si>
  <si>
    <t>新能源配储能的现状、挑战及发展建议_电力网 (chinapower.com.cn)</t>
  </si>
  <si>
    <t>*2020 &amp; 2024 Data: CNESA 2020 Report Projection - Conservative Scenario</t>
  </si>
  <si>
    <t>PAGBSC</t>
  </si>
  <si>
    <t>*From 2022: copied from 2022 national model</t>
  </si>
  <si>
    <t>CNESA重磅｜2022储能产业盘点：大势已成，因势而动</t>
  </si>
  <si>
    <t>https://new.qq.com/rain/a/20230116A098JW00</t>
  </si>
  <si>
    <t>2022年，中国储能产业继续保持高速发展态势</t>
  </si>
  <si>
    <r>
      <rPr>
        <b/>
        <sz val="11"/>
        <color rgb="FF000000"/>
        <rFont val="Segoe UI"/>
        <charset val="134"/>
      </rPr>
      <t>新型储能继续保持高增长，累计装机规模首次突破10GW，</t>
    </r>
    <r>
      <rPr>
        <sz val="11"/>
        <color rgb="FF000000"/>
        <rFont val="Segoe UI"/>
        <charset val="134"/>
      </rPr>
      <t>超过2021年同期的2倍，</t>
    </r>
    <r>
      <rPr>
        <b/>
        <sz val="11"/>
        <color rgb="FF000000"/>
        <rFont val="Segoe UI"/>
        <charset val="134"/>
      </rPr>
      <t>达到12.7GW</t>
    </r>
  </si>
  <si>
    <r>
      <rPr>
        <sz val="11"/>
        <color rgb="FF000000"/>
        <rFont val="Segoe UI"/>
        <charset val="134"/>
      </rPr>
      <t>2022年，</t>
    </r>
    <r>
      <rPr>
        <b/>
        <sz val="11"/>
        <color rgb="FF000000"/>
        <rFont val="Segoe UI"/>
        <charset val="134"/>
      </rPr>
      <t>国内新增投运新型储能项目装机规模达6.9GW/15.3GWh</t>
    </r>
  </si>
  <si>
    <r>
      <rPr>
        <b/>
        <sz val="11"/>
        <color rgb="FF000000"/>
        <rFont val="Segoe UI"/>
        <charset val="134"/>
      </rPr>
      <t>从应用模式上，</t>
    </r>
    <r>
      <rPr>
        <sz val="11"/>
        <color rgb="FF000000"/>
        <rFont val="Segoe UI"/>
        <charset val="134"/>
      </rPr>
      <t>近65%的装机规模分布在电网侧，并且其中90%的项目为独立储能项目，独立储能有望成为新型储能的主流应用形式。</t>
    </r>
  </si>
  <si>
    <t>电网侧储能</t>
  </si>
  <si>
    <t>容量预测(GWh)</t>
  </si>
  <si>
    <t>电网侧合计</t>
  </si>
  <si>
    <t>调峰</t>
  </si>
  <si>
    <t>调频</t>
  </si>
  <si>
    <t>尖峰负荷</t>
  </si>
  <si>
    <t>功率预测(GW)</t>
  </si>
  <si>
    <t>累计</t>
  </si>
  <si>
    <t>累计值</t>
  </si>
  <si>
    <t>Hydrogen</t>
  </si>
  <si>
    <t xml:space="preserve">We give leeway for the Potential Achievable Battery Storage to be 50% higher than the Estimated </t>
  </si>
  <si>
    <t>Potential Max</t>
  </si>
  <si>
    <t>We used the most aggressive prediction by CNESA to set the Potential Capacity Development prior to 2030, the extropolate to follow the Long Term Estimation</t>
  </si>
  <si>
    <t>BAU Battery Storage</t>
  </si>
  <si>
    <t>Potential Battery Storage</t>
  </si>
  <si>
    <t>Total Battery Storage Needed</t>
  </si>
  <si>
    <t>Potential Additional Battery Storage Needed</t>
  </si>
  <si>
    <t>% of Potential Battery Storage</t>
  </si>
  <si>
    <t>Maximum PAGBSC (percentage)</t>
  </si>
  <si>
    <t>FOPITY</t>
  </si>
  <si>
    <t>Conservative Scenario</t>
  </si>
  <si>
    <t>Unit: MW</t>
  </si>
  <si>
    <t>BAU Grid Battery Storage Capacity</t>
  </si>
  <si>
    <t>Potential Additional Grid Battery Storage Capacity</t>
  </si>
  <si>
    <t>Battery Storage Capacity</t>
  </si>
  <si>
    <t>Start Year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</si>
</sst>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[$€-2]* #,##0.00_);_([$€-2]* \(#,##0.00\);_([$€-2]* &quot;-&quot;??_)"/>
    <numFmt numFmtId="177" formatCode="0_);[Red]\(0\)"/>
    <numFmt numFmtId="178" formatCode="0_ "/>
    <numFmt numFmtId="179" formatCode="0.00_);[Red]\(0.00\)"/>
  </numFmts>
  <fonts count="57">
    <font>
      <sz val="11"/>
      <color theme="1"/>
      <name val="等线"/>
      <charset val="134"/>
      <scheme val="minor"/>
    </font>
    <font>
      <i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24"/>
      <color rgb="FF333333"/>
      <name val="Segoe UI"/>
      <charset val="134"/>
    </font>
    <font>
      <sz val="11"/>
      <color rgb="FF000000"/>
      <name val="Segoe UI"/>
      <charset val="134"/>
    </font>
    <font>
      <b/>
      <sz val="11"/>
      <color rgb="FF000000"/>
      <name val="Segoe UI"/>
      <charset val="134"/>
    </font>
    <font>
      <sz val="12"/>
      <color rgb="FF333333"/>
      <name val="Microsoft Yahei"/>
      <charset val="134"/>
    </font>
    <font>
      <u/>
      <sz val="11"/>
      <color theme="1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10"/>
      <name val="Arial"/>
      <charset val="134"/>
    </font>
    <font>
      <sz val="10"/>
      <name val="宋体"/>
      <charset val="134"/>
    </font>
    <font>
      <sz val="10"/>
      <name val="Microsoft YaHei"/>
      <charset val="134"/>
    </font>
    <font>
      <u/>
      <sz val="11"/>
      <color rgb="FF800080"/>
      <name val="等线"/>
      <charset val="134"/>
      <scheme val="minor"/>
    </font>
    <font>
      <sz val="11"/>
      <color rgb="FF000000"/>
      <name val="宋体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11"/>
      <color indexed="26"/>
      <name val="Calibri"/>
      <charset val="134"/>
    </font>
    <font>
      <sz val="9"/>
      <color indexed="8"/>
      <name val="Calibri"/>
      <charset val="134"/>
    </font>
    <font>
      <b/>
      <sz val="11"/>
      <color indexed="52"/>
      <name val="Calibri"/>
      <charset val="134"/>
    </font>
    <font>
      <b/>
      <sz val="11"/>
      <color indexed="9"/>
      <name val="Calibri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9"/>
      <color indexed="8"/>
      <name val="Calibri"/>
      <charset val="134"/>
    </font>
    <font>
      <b/>
      <sz val="15"/>
      <color indexed="62"/>
      <name val="Calibri"/>
      <charset val="134"/>
    </font>
    <font>
      <b/>
      <sz val="13"/>
      <color indexed="62"/>
      <name val="Calibri"/>
      <charset val="134"/>
    </font>
    <font>
      <b/>
      <sz val="11"/>
      <color indexed="62"/>
      <name val="Calibri"/>
      <charset val="134"/>
    </font>
    <font>
      <sz val="11"/>
      <color indexed="62"/>
      <name val="Calibri"/>
      <charset val="134"/>
    </font>
    <font>
      <sz val="11"/>
      <color indexed="52"/>
      <name val="Calibri"/>
      <charset val="134"/>
    </font>
    <font>
      <sz val="11"/>
      <color indexed="60"/>
      <name val="Calibri"/>
      <charset val="134"/>
    </font>
    <font>
      <b/>
      <sz val="11"/>
      <color indexed="63"/>
      <name val="Calibri"/>
      <charset val="134"/>
    </font>
    <font>
      <b/>
      <sz val="12"/>
      <color indexed="30"/>
      <name val="Calibri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sz val="11"/>
      <color indexed="10"/>
      <name val="Calibri"/>
      <charset val="134"/>
    </font>
    <font>
      <sz val="11"/>
      <color indexed="8"/>
      <name val="等线"/>
      <charset val="134"/>
      <scheme val="minor"/>
    </font>
    <font>
      <sz val="10"/>
      <name val="微软雅黑"/>
      <charset val="134"/>
    </font>
    <font>
      <b/>
      <sz val="10"/>
      <name val="Microsoft YaHei"/>
      <charset val="134"/>
    </font>
  </fonts>
  <fills count="5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34"/>
      </top>
      <bottom style="double">
        <color indexed="34"/>
      </bottom>
      <diagonal/>
    </border>
  </borders>
  <cellStyleXfs count="11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1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20" applyNumberFormat="0" applyAlignment="0" applyProtection="0">
      <alignment vertical="center"/>
    </xf>
    <xf numFmtId="0" fontId="24" fillId="13" borderId="21" applyNumberFormat="0" applyAlignment="0" applyProtection="0">
      <alignment vertical="center"/>
    </xf>
    <xf numFmtId="0" fontId="25" fillId="13" borderId="20" applyNumberFormat="0" applyAlignment="0" applyProtection="0">
      <alignment vertical="center"/>
    </xf>
    <xf numFmtId="0" fontId="26" fillId="14" borderId="22" applyNumberFormat="0" applyAlignment="0" applyProtection="0">
      <alignment vertical="center"/>
    </xf>
    <xf numFmtId="0" fontId="27" fillId="0" borderId="23" applyNumberFormat="0" applyFill="0" applyAlignment="0" applyProtection="0">
      <alignment vertical="center"/>
    </xf>
    <xf numFmtId="0" fontId="28" fillId="0" borderId="24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1" borderId="0" applyNumberFormat="0" applyBorder="0" applyAlignment="0" applyProtection="0"/>
    <xf numFmtId="0" fontId="34" fillId="44" borderId="0" applyNumberFormat="0" applyBorder="0" applyAlignment="0" applyProtection="0"/>
    <xf numFmtId="0" fontId="34" fillId="42" borderId="0" applyNumberFormat="0" applyBorder="0" applyAlignment="0" applyProtection="0"/>
    <xf numFmtId="0" fontId="34" fillId="45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2" borderId="0" applyNumberFormat="0" applyBorder="0" applyAlignment="0" applyProtection="0"/>
    <xf numFmtId="0" fontId="35" fillId="47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7" borderId="0" applyNumberFormat="0" applyBorder="0" applyAlignment="0" applyProtection="0"/>
    <xf numFmtId="0" fontId="35" fillId="42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49" borderId="0" applyNumberFormat="0" applyBorder="0" applyAlignment="0" applyProtection="0"/>
    <xf numFmtId="0" fontId="35" fillId="50" borderId="0" applyNumberFormat="0" applyBorder="0" applyAlignment="0" applyProtection="0"/>
    <xf numFmtId="0" fontId="35" fillId="47" borderId="0" applyNumberFormat="0" applyBorder="0" applyAlignment="0" applyProtection="0"/>
    <xf numFmtId="0" fontId="35" fillId="51" borderId="0" applyNumberFormat="0" applyBorder="0" applyAlignment="0" applyProtection="0"/>
    <xf numFmtId="0" fontId="36" fillId="52" borderId="0" applyNumberFormat="0" applyBorder="0" applyAlignment="0" applyProtection="0"/>
    <xf numFmtId="0" fontId="37" fillId="0" borderId="25" applyNumberFormat="0" applyFont="0" applyProtection="0">
      <alignment wrapText="1"/>
    </xf>
    <xf numFmtId="0" fontId="37" fillId="0" borderId="25">
      <alignment wrapText="1"/>
    </xf>
    <xf numFmtId="0" fontId="38" fillId="41" borderId="26" applyNumberFormat="0" applyAlignment="0" applyProtection="0"/>
    <xf numFmtId="0" fontId="39" fillId="53" borderId="27" applyNumberFormat="0" applyAlignment="0" applyProtection="0"/>
    <xf numFmtId="176" fontId="11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/>
    <xf numFmtId="0" fontId="37" fillId="0" borderId="28" applyNumberFormat="0" applyProtection="0">
      <alignment wrapText="1"/>
    </xf>
    <xf numFmtId="0" fontId="37" fillId="0" borderId="28">
      <alignment wrapText="1"/>
    </xf>
    <xf numFmtId="0" fontId="41" fillId="54" borderId="0" applyNumberFormat="0" applyBorder="0" applyAlignment="0" applyProtection="0"/>
    <xf numFmtId="0" fontId="42" fillId="0" borderId="29" applyNumberFormat="0" applyProtection="0">
      <alignment wrapText="1"/>
    </xf>
    <xf numFmtId="0" fontId="42" fillId="0" borderId="29">
      <alignment wrapText="1"/>
    </xf>
    <xf numFmtId="0" fontId="43" fillId="0" borderId="30" applyNumberFormat="0" applyFill="0" applyAlignment="0" applyProtection="0"/>
    <xf numFmtId="0" fontId="44" fillId="0" borderId="31" applyNumberFormat="0" applyFill="0" applyAlignment="0" applyProtection="0"/>
    <xf numFmtId="0" fontId="45" fillId="0" borderId="32" applyNumberFormat="0" applyFill="0" applyAlignment="0" applyProtection="0"/>
    <xf numFmtId="0" fontId="45" fillId="0" borderId="0" applyNumberFormat="0" applyFill="0" applyBorder="0" applyAlignment="0" applyProtection="0"/>
    <xf numFmtId="0" fontId="46" fillId="42" borderId="26" applyNumberFormat="0" applyAlignment="0" applyProtection="0"/>
    <xf numFmtId="0" fontId="47" fillId="0" borderId="33" applyNumberFormat="0" applyFill="0" applyAlignment="0" applyProtection="0"/>
    <xf numFmtId="0" fontId="48" fillId="43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7" fillId="0" borderId="0"/>
    <xf numFmtId="0" fontId="11" fillId="43" borderId="34" applyNumberFormat="0" applyFont="0" applyAlignment="0" applyProtection="0"/>
    <xf numFmtId="0" fontId="49" fillId="41" borderId="35" applyNumberFormat="0" applyAlignment="0" applyProtection="0"/>
    <xf numFmtId="0" fontId="42" fillId="0" borderId="36" applyNumberFormat="0" applyProtection="0">
      <alignment wrapText="1"/>
    </xf>
    <xf numFmtId="0" fontId="42" fillId="0" borderId="36">
      <alignment wrapText="1"/>
    </xf>
    <xf numFmtId="0" fontId="50" fillId="0" borderId="0" applyNumberFormat="0" applyProtection="0">
      <alignment horizontal="left"/>
    </xf>
    <xf numFmtId="0" fontId="50" fillId="0" borderId="0">
      <alignment horizontal="left"/>
    </xf>
    <xf numFmtId="0" fontId="51" fillId="0" borderId="0" applyNumberFormat="0" applyFill="0" applyBorder="0" applyAlignment="0" applyProtection="0"/>
    <xf numFmtId="0" fontId="52" fillId="0" borderId="37" applyNumberFormat="0" applyFill="0" applyAlignment="0" applyProtection="0"/>
    <xf numFmtId="0" fontId="53" fillId="0" borderId="0" applyNumberFormat="0" applyFill="0" applyBorder="0" applyAlignment="0" applyProtection="0"/>
    <xf numFmtId="0" fontId="0" fillId="0" borderId="0"/>
    <xf numFmtId="0" fontId="54" fillId="0" borderId="0">
      <alignment vertical="center"/>
    </xf>
    <xf numFmtId="0" fontId="11" fillId="0" borderId="0">
      <alignment vertical="center"/>
    </xf>
    <xf numFmtId="0" fontId="0" fillId="0" borderId="0"/>
    <xf numFmtId="0" fontId="9" fillId="0" borderId="0" applyNumberFormat="0" applyFill="0" applyBorder="0" applyAlignment="0" applyProtection="0"/>
  </cellStyleXfs>
  <cellXfs count="92">
    <xf numFmtId="0" fontId="0" fillId="0" borderId="0" xfId="0">
      <alignment vertical="center"/>
    </xf>
    <xf numFmtId="0" fontId="0" fillId="0" borderId="0" xfId="0" applyAlignment="1"/>
    <xf numFmtId="1" fontId="0" fillId="0" borderId="0" xfId="0" applyNumberFormat="1" applyAlignment="1"/>
    <xf numFmtId="0" fontId="1" fillId="0" borderId="0" xfId="0" applyFont="1" applyAlignment="1"/>
    <xf numFmtId="0" fontId="0" fillId="0" borderId="0" xfId="112"/>
    <xf numFmtId="0" fontId="1" fillId="0" borderId="0" xfId="112" applyFont="1"/>
    <xf numFmtId="177" fontId="0" fillId="0" borderId="0" xfId="0" applyNumberFormat="1">
      <alignment vertical="center"/>
    </xf>
    <xf numFmtId="177" fontId="2" fillId="0" borderId="0" xfId="0" applyNumberFormat="1" applyFont="1">
      <alignment vertical="center"/>
    </xf>
    <xf numFmtId="0" fontId="2" fillId="0" borderId="0" xfId="0" applyFont="1">
      <alignment vertical="center"/>
    </xf>
    <xf numFmtId="177" fontId="3" fillId="0" borderId="0" xfId="0" applyNumberFormat="1" applyFont="1">
      <alignment vertical="center"/>
    </xf>
    <xf numFmtId="177" fontId="3" fillId="2" borderId="0" xfId="0" applyNumberFormat="1" applyFont="1" applyFill="1">
      <alignment vertical="center"/>
    </xf>
    <xf numFmtId="9" fontId="3" fillId="0" borderId="0" xfId="3" applyFont="1">
      <alignment vertical="center"/>
    </xf>
    <xf numFmtId="9" fontId="3" fillId="2" borderId="0" xfId="3" applyFont="1" applyFill="1">
      <alignment vertical="center"/>
    </xf>
    <xf numFmtId="9" fontId="2" fillId="0" borderId="0" xfId="3" applyFont="1">
      <alignment vertical="center"/>
    </xf>
    <xf numFmtId="0" fontId="4" fillId="3" borderId="0" xfId="0" applyFont="1" applyFill="1">
      <alignment vertical="center"/>
    </xf>
    <xf numFmtId="9" fontId="0" fillId="0" borderId="0" xfId="3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178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>
      <alignment vertical="center"/>
    </xf>
    <xf numFmtId="0" fontId="9" fillId="0" borderId="0" xfId="6">
      <alignment vertical="center"/>
    </xf>
    <xf numFmtId="0" fontId="4" fillId="8" borderId="0" xfId="0" applyFont="1" applyFill="1">
      <alignment vertical="center"/>
    </xf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>
      <alignment vertical="center"/>
    </xf>
    <xf numFmtId="0" fontId="0" fillId="0" borderId="0" xfId="0" applyAlignment="1">
      <alignment horizontal="left" vertical="center"/>
    </xf>
    <xf numFmtId="178" fontId="4" fillId="0" borderId="0" xfId="0" applyNumberFormat="1" applyFont="1">
      <alignment vertical="center"/>
    </xf>
    <xf numFmtId="178" fontId="10" fillId="0" borderId="0" xfId="0" applyNumberFormat="1" applyFont="1">
      <alignment vertical="center"/>
    </xf>
    <xf numFmtId="178" fontId="2" fillId="0" borderId="0" xfId="0" applyNumberFormat="1" applyFont="1">
      <alignment vertical="center"/>
    </xf>
    <xf numFmtId="9" fontId="0" fillId="0" borderId="0" xfId="0" applyNumberFormat="1">
      <alignment vertical="center"/>
    </xf>
    <xf numFmtId="177" fontId="4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0" fillId="8" borderId="0" xfId="0" applyNumberFormat="1" applyFill="1">
      <alignment vertical="center"/>
    </xf>
    <xf numFmtId="0" fontId="0" fillId="0" borderId="1" xfId="0" applyBorder="1" applyAlignment="1"/>
    <xf numFmtId="0" fontId="0" fillId="0" borderId="2" xfId="0" applyBorder="1" applyAlignme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/>
    <xf numFmtId="177" fontId="0" fillId="0" borderId="7" xfId="0" applyNumberFormat="1" applyBorder="1" applyAlignment="1">
      <alignment horizontal="right"/>
    </xf>
    <xf numFmtId="177" fontId="0" fillId="0" borderId="8" xfId="0" applyNumberFormat="1" applyBorder="1" applyAlignment="1">
      <alignment horizontal="right"/>
    </xf>
    <xf numFmtId="177" fontId="2" fillId="0" borderId="8" xfId="0" applyNumberFormat="1" applyFont="1" applyBorder="1" applyAlignment="1">
      <alignment horizontal="right"/>
    </xf>
    <xf numFmtId="177" fontId="0" fillId="0" borderId="8" xfId="0" applyNumberFormat="1" applyBorder="1" applyAlignment="1">
      <alignment horizontal="right" vertical="center"/>
    </xf>
    <xf numFmtId="177" fontId="0" fillId="0" borderId="6" xfId="0" applyNumberFormat="1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/>
    <xf numFmtId="179" fontId="0" fillId="0" borderId="11" xfId="0" applyNumberFormat="1" applyBorder="1" applyAlignment="1">
      <alignment horizontal="right"/>
    </xf>
    <xf numFmtId="179" fontId="0" fillId="0" borderId="12" xfId="0" applyNumberFormat="1" applyBorder="1" applyAlignment="1">
      <alignment horizontal="right"/>
    </xf>
    <xf numFmtId="179" fontId="2" fillId="0" borderId="12" xfId="0" applyNumberFormat="1" applyFont="1" applyBorder="1" applyAlignment="1">
      <alignment horizontal="right"/>
    </xf>
    <xf numFmtId="179" fontId="0" fillId="0" borderId="12" xfId="0" applyNumberFormat="1" applyBorder="1" applyAlignment="1">
      <alignment horizontal="right" vertical="center"/>
    </xf>
    <xf numFmtId="179" fontId="0" fillId="0" borderId="10" xfId="0" applyNumberFormat="1" applyBorder="1" applyAlignment="1">
      <alignment horizontal="right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/>
    <xf numFmtId="179" fontId="0" fillId="0" borderId="15" xfId="0" applyNumberFormat="1" applyBorder="1" applyAlignment="1">
      <alignment horizontal="right"/>
    </xf>
    <xf numFmtId="179" fontId="0" fillId="0" borderId="16" xfId="0" applyNumberFormat="1" applyBorder="1" applyAlignment="1">
      <alignment horizontal="right"/>
    </xf>
    <xf numFmtId="179" fontId="10" fillId="0" borderId="16" xfId="0" applyNumberFormat="1" applyFont="1" applyBorder="1" applyAlignment="1">
      <alignment horizontal="right"/>
    </xf>
    <xf numFmtId="179" fontId="4" fillId="0" borderId="16" xfId="0" applyNumberFormat="1" applyFont="1" applyBorder="1" applyAlignment="1">
      <alignment horizontal="right"/>
    </xf>
    <xf numFmtId="179" fontId="0" fillId="0" borderId="14" xfId="0" applyNumberFormat="1" applyBorder="1" applyAlignment="1">
      <alignment horizontal="right" vertical="center"/>
    </xf>
    <xf numFmtId="0" fontId="0" fillId="0" borderId="5" xfId="0" applyBorder="1" applyAlignment="1">
      <alignment horizontal="center" vertical="center" wrapText="1"/>
    </xf>
    <xf numFmtId="177" fontId="2" fillId="0" borderId="8" xfId="0" applyNumberFormat="1" applyFont="1" applyBorder="1" applyAlignment="1">
      <alignment horizontal="right" vertical="center"/>
    </xf>
    <xf numFmtId="0" fontId="0" fillId="0" borderId="9" xfId="0" applyBorder="1" applyAlignment="1">
      <alignment horizontal="center" vertical="center" wrapText="1"/>
    </xf>
    <xf numFmtId="179" fontId="2" fillId="0" borderId="12" xfId="0" applyNumberFormat="1" applyFont="1" applyBorder="1" applyAlignment="1">
      <alignment horizontal="right" vertical="center"/>
    </xf>
    <xf numFmtId="0" fontId="0" fillId="0" borderId="13" xfId="0" applyBorder="1" applyAlignment="1">
      <alignment horizontal="center" vertical="center" wrapText="1"/>
    </xf>
    <xf numFmtId="0" fontId="0" fillId="3" borderId="0" xfId="0" applyFill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>
      <alignment vertical="center"/>
    </xf>
    <xf numFmtId="178" fontId="0" fillId="0" borderId="12" xfId="0" applyNumberFormat="1" applyBorder="1">
      <alignment vertical="center"/>
    </xf>
    <xf numFmtId="177" fontId="0" fillId="0" borderId="12" xfId="0" applyNumberFormat="1" applyBorder="1">
      <alignment vertical="center"/>
    </xf>
    <xf numFmtId="177" fontId="0" fillId="0" borderId="12" xfId="0" applyNumberForma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>
      <alignment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10" borderId="0" xfId="0" applyFont="1" applyFill="1" applyAlignment="1">
      <alignment horizontal="left" vertical="center"/>
    </xf>
    <xf numFmtId="0" fontId="14" fillId="0" borderId="0" xfId="6" applyFont="1" applyAlignment="1">
      <alignment horizontal="left" vertical="center"/>
    </xf>
    <xf numFmtId="0" fontId="14" fillId="0" borderId="0" xfId="6" applyFont="1">
      <alignment vertical="center"/>
    </xf>
    <xf numFmtId="0" fontId="15" fillId="0" borderId="0" xfId="0" applyFont="1">
      <alignment vertical="center"/>
    </xf>
    <xf numFmtId="0" fontId="4" fillId="0" borderId="0" xfId="115" applyFont="1"/>
    <xf numFmtId="0" fontId="0" fillId="0" borderId="0" xfId="115" applyAlignment="1">
      <alignment horizontal="left"/>
    </xf>
    <xf numFmtId="0" fontId="0" fillId="0" borderId="0" xfId="115"/>
  </cellXfs>
  <cellStyles count="11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Accent1 2" xfId="49"/>
    <cellStyle name="20% - Accent2 2" xfId="50"/>
    <cellStyle name="20% - Accent3 2" xfId="51"/>
    <cellStyle name="20% - Accent4 2" xfId="52"/>
    <cellStyle name="20% - Accent5 2" xfId="53"/>
    <cellStyle name="20% - Accent6 2" xfId="54"/>
    <cellStyle name="40% - Accent1 2" xfId="55"/>
    <cellStyle name="40% - Accent2 2" xfId="56"/>
    <cellStyle name="40% - Accent3 2" xfId="57"/>
    <cellStyle name="40% - Accent4 2" xfId="58"/>
    <cellStyle name="40% - Accent5 2" xfId="59"/>
    <cellStyle name="40% - Accent6 2" xfId="60"/>
    <cellStyle name="60% - Accent1 2" xfId="61"/>
    <cellStyle name="60% - Accent2 2" xfId="62"/>
    <cellStyle name="60% - Accent3 2" xfId="63"/>
    <cellStyle name="60% - Accent4 2" xfId="64"/>
    <cellStyle name="60% - Accent5 2" xfId="65"/>
    <cellStyle name="60% - Accent6 2" xfId="66"/>
    <cellStyle name="Accent1 2" xfId="67"/>
    <cellStyle name="Accent2 2" xfId="68"/>
    <cellStyle name="Accent3 2" xfId="69"/>
    <cellStyle name="Accent4 2" xfId="70"/>
    <cellStyle name="Accent5 2" xfId="71"/>
    <cellStyle name="Accent6 2" xfId="72"/>
    <cellStyle name="Bad 2" xfId="73"/>
    <cellStyle name="Body: normal cell" xfId="74"/>
    <cellStyle name="Body: normal cell 2" xfId="75"/>
    <cellStyle name="Calculation 2" xfId="76"/>
    <cellStyle name="Check Cell 2" xfId="77"/>
    <cellStyle name="Euro" xfId="78"/>
    <cellStyle name="Explanatory Text 2" xfId="79"/>
    <cellStyle name="Font: Calibri, 9pt regular" xfId="80"/>
    <cellStyle name="Font: Calibri, 9pt regular 2" xfId="81"/>
    <cellStyle name="Footnotes: top row" xfId="82"/>
    <cellStyle name="Footnotes: top row 2" xfId="83"/>
    <cellStyle name="Good 2" xfId="84"/>
    <cellStyle name="Header: bottom row" xfId="85"/>
    <cellStyle name="Header: bottom row 2" xfId="86"/>
    <cellStyle name="Heading 1 2" xfId="87"/>
    <cellStyle name="Heading 2 2" xfId="88"/>
    <cellStyle name="Heading 3 2" xfId="89"/>
    <cellStyle name="Heading 4 2" xfId="90"/>
    <cellStyle name="Input 2" xfId="91"/>
    <cellStyle name="Linked Cell 2" xfId="92"/>
    <cellStyle name="Neutral 2" xfId="93"/>
    <cellStyle name="Normal 2" xfId="94"/>
    <cellStyle name="Normal 2 2" xfId="95"/>
    <cellStyle name="Normal 2 3" xfId="96"/>
    <cellStyle name="Normal 2 4" xfId="97"/>
    <cellStyle name="Normal 2 5" xfId="98"/>
    <cellStyle name="Normal 2 6" xfId="99"/>
    <cellStyle name="Normal 3" xfId="100"/>
    <cellStyle name="Normal 4" xfId="101"/>
    <cellStyle name="Normal 5" xfId="102"/>
    <cellStyle name="Note 2" xfId="103"/>
    <cellStyle name="Output 2" xfId="104"/>
    <cellStyle name="Parent row" xfId="105"/>
    <cellStyle name="Parent row 2" xfId="106"/>
    <cellStyle name="Table title" xfId="107"/>
    <cellStyle name="Table title 2" xfId="108"/>
    <cellStyle name="Title 2" xfId="109"/>
    <cellStyle name="Total 2" xfId="110"/>
    <cellStyle name="Warning Text 2" xfId="111"/>
    <cellStyle name="常规 2" xfId="112"/>
    <cellStyle name="常规 2 2" xfId="113"/>
    <cellStyle name="常规 3" xfId="114"/>
    <cellStyle name="常规 4" xfId="115"/>
    <cellStyle name="超链接 2" xfId="116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elete val="1"/>
          </c:dLbls>
          <c:cat>
            <c:strRef>
              <c:f>[1]Sheet1!$H$2:$H$11</c:f>
              <c:strCache>
                <c:ptCount val="10"/>
                <c:pt idx="0">
                  <c:v>江苏</c:v>
                </c:pt>
                <c:pt idx="1">
                  <c:v>福建</c:v>
                </c:pt>
                <c:pt idx="2">
                  <c:v>河南</c:v>
                </c:pt>
                <c:pt idx="3">
                  <c:v>湖南</c:v>
                </c:pt>
                <c:pt idx="4">
                  <c:v>青海</c:v>
                </c:pt>
                <c:pt idx="5">
                  <c:v>广东</c:v>
                </c:pt>
                <c:pt idx="6">
                  <c:v>浙江</c:v>
                </c:pt>
                <c:pt idx="7">
                  <c:v>北京</c:v>
                </c:pt>
                <c:pt idx="8">
                  <c:v>天津</c:v>
                </c:pt>
                <c:pt idx="9">
                  <c:v>河北</c:v>
                </c:pt>
              </c:strCache>
            </c:strRef>
          </c:cat>
          <c:val>
            <c:numRef>
              <c:f>[1]Sheet1!$I$2:$I$11</c:f>
              <c:numCache>
                <c:formatCode>General</c:formatCode>
                <c:ptCount val="10"/>
                <c:pt idx="0">
                  <c:v>437.72</c:v>
                </c:pt>
                <c:pt idx="1">
                  <c:v>330</c:v>
                </c:pt>
                <c:pt idx="2">
                  <c:v>110.4</c:v>
                </c:pt>
                <c:pt idx="3">
                  <c:v>60</c:v>
                </c:pt>
                <c:pt idx="4">
                  <c:v>48</c:v>
                </c:pt>
                <c:pt idx="5">
                  <c:v>27.187</c:v>
                </c:pt>
                <c:pt idx="6">
                  <c:v>22.5</c:v>
                </c:pt>
                <c:pt idx="7">
                  <c:v>19</c:v>
                </c:pt>
                <c:pt idx="8">
                  <c:v>10</c:v>
                </c:pt>
                <c:pt idx="9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703e12-a5d6-4a06-a5b8-163e8f64d0d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CNESA!$F$47:$Q$47</c:f>
              <c:numCache>
                <c:formatCode>General</c:formatCode>
                <c:ptCount val="12"/>
                <c:pt idx="0">
                  <c:v>2016</c:v>
                </c:pt>
                <c:pt idx="1" c:formatCode="0_ ">
                  <c:v>2017</c:v>
                </c:pt>
                <c:pt idx="2">
                  <c:v>2018</c:v>
                </c:pt>
                <c:pt idx="3" c:formatCode="0_ ">
                  <c:v>2019</c:v>
                </c:pt>
                <c:pt idx="4">
                  <c:v>2020</c:v>
                </c:pt>
                <c:pt idx="5" c:formatCode="0_ ">
                  <c:v>2021</c:v>
                </c:pt>
                <c:pt idx="6">
                  <c:v>2022</c:v>
                </c:pt>
                <c:pt idx="7" c:formatCode="0_ ">
                  <c:v>2023</c:v>
                </c:pt>
                <c:pt idx="8">
                  <c:v>2024</c:v>
                </c:pt>
                <c:pt idx="9" c:formatCode="0_ ">
                  <c:v>2025</c:v>
                </c:pt>
                <c:pt idx="10">
                  <c:v>2026</c:v>
                </c:pt>
                <c:pt idx="11" c:formatCode="0_ ">
                  <c:v>2050</c:v>
                </c:pt>
              </c:numCache>
            </c:numRef>
          </c:xVal>
          <c:yVal>
            <c:numRef>
              <c:f>CNESA!$F$49:$Q$49</c:f>
              <c:numCache>
                <c:formatCode>General</c:formatCode>
                <c:ptCount val="12"/>
                <c:pt idx="0">
                  <c:v>0</c:v>
                </c:pt>
                <c:pt idx="1">
                  <c:v>100</c:v>
                </c:pt>
                <c:pt idx="2">
                  <c:v>308</c:v>
                </c:pt>
                <c:pt idx="3">
                  <c:v>411</c:v>
                </c:pt>
                <c:pt idx="4" c:formatCode="0_ ">
                  <c:v>673</c:v>
                </c:pt>
                <c:pt idx="5" c:formatCode="0_ ">
                  <c:v>2181.2</c:v>
                </c:pt>
                <c:pt idx="6" c:formatCode="0_ ">
                  <c:v>6666.2</c:v>
                </c:pt>
                <c:pt idx="7" c:formatCode="0_ ">
                  <c:v>10056.2</c:v>
                </c:pt>
                <c:pt idx="8" c:formatCode="0_ ">
                  <c:v>16346.2</c:v>
                </c:pt>
                <c:pt idx="9">
                  <c:v>26135.8444571895</c:v>
                </c:pt>
                <c:pt idx="10">
                  <c:v>37081.4039053336</c:v>
                </c:pt>
                <c:pt idx="11">
                  <c:v>210000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0428960"/>
        <c:axId val="640428544"/>
      </c:scatterChart>
      <c:valAx>
        <c:axId val="6404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0428544"/>
        <c:crosses val="autoZero"/>
        <c:crossBetween val="midCat"/>
      </c:valAx>
      <c:valAx>
        <c:axId val="6404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04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e67d7c1-39a3-42dd-a2de-0cce335eea7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086753280839895"/>
          <c:y val="0.129721329928315"/>
          <c:w val="0.873795738767948"/>
          <c:h val="0.646146732089708"/>
        </c:manualLayout>
      </c:layout>
      <c:scatterChart>
        <c:scatterStyle val="line"/>
        <c:varyColors val="0"/>
        <c:ser>
          <c:idx val="0"/>
          <c:order val="0"/>
          <c:tx>
            <c:strRef>
              <c:f>CNESA!$B$34</c:f>
              <c:strCache>
                <c:ptCount val="1"/>
                <c:pt idx="0">
                  <c:v>2024 Conservative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CNESA!$C$34:$T$34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5729.7</c:v>
                </c:pt>
                <c:pt idx="9">
                  <c:v>13076.8</c:v>
                </c:pt>
                <c:pt idx="10">
                  <c:v>34509.1</c:v>
                </c:pt>
                <c:pt idx="11">
                  <c:v>64620</c:v>
                </c:pt>
                <c:pt idx="15">
                  <c:v>168700</c:v>
                </c:pt>
                <c:pt idx="17">
                  <c:v>221180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CNESA!$B$35</c:f>
              <c:strCache>
                <c:ptCount val="1"/>
                <c:pt idx="0">
                  <c:v>2024 Aggressive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CNESA!$C$35:$T$35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5729.7</c:v>
                </c:pt>
                <c:pt idx="9">
                  <c:v>13076.8</c:v>
                </c:pt>
                <c:pt idx="10">
                  <c:v>34509.1</c:v>
                </c:pt>
                <c:pt idx="11">
                  <c:v>75710</c:v>
                </c:pt>
                <c:pt idx="15">
                  <c:v>220900</c:v>
                </c:pt>
                <c:pt idx="17">
                  <c:v>313860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CNESA!$B$36</c:f>
              <c:strCache>
                <c:ptCount val="1"/>
                <c:pt idx="0">
                  <c:v>2023 Conservative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CNESA!$C$36:$T$36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5729.7</c:v>
                </c:pt>
                <c:pt idx="9">
                  <c:v>13076.8</c:v>
                </c:pt>
                <c:pt idx="10">
                  <c:v>23460.8</c:v>
                </c:pt>
                <c:pt idx="14">
                  <c:v>97008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CNESA!$B$37</c:f>
              <c:strCache>
                <c:ptCount val="1"/>
                <c:pt idx="0">
                  <c:v>2023 Aggressive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CNESA!$C$37:$T$37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5729.7</c:v>
                </c:pt>
                <c:pt idx="9">
                  <c:v>13076.8</c:v>
                </c:pt>
                <c:pt idx="10">
                  <c:v>31271.8</c:v>
                </c:pt>
                <c:pt idx="14">
                  <c:v>138386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CNESA!$B$38</c:f>
              <c:strCache>
                <c:ptCount val="1"/>
                <c:pt idx="0">
                  <c:v>2022 Conservative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CNESA!$C$38:$T$38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5729.7</c:v>
                </c:pt>
                <c:pt idx="9">
                  <c:v>9531.7</c:v>
                </c:pt>
                <c:pt idx="10">
                  <c:v>15260</c:v>
                </c:pt>
                <c:pt idx="11">
                  <c:v>23750</c:v>
                </c:pt>
                <c:pt idx="12">
                  <c:v>35440</c:v>
                </c:pt>
                <c:pt idx="13">
                  <c:v>48510.3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CNESA!$B$39</c:f>
              <c:strCache>
                <c:ptCount val="1"/>
                <c:pt idx="0">
                  <c:v>2022 Aggressive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CNESA!$C$39:$T$39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5729.7</c:v>
                </c:pt>
                <c:pt idx="9">
                  <c:v>11192.3</c:v>
                </c:pt>
                <c:pt idx="10">
                  <c:v>18240</c:v>
                </c:pt>
                <c:pt idx="11">
                  <c:v>32530</c:v>
                </c:pt>
                <c:pt idx="12">
                  <c:v>56100</c:v>
                </c:pt>
                <c:pt idx="13">
                  <c:v>79535.4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CNESA!$B$40</c:f>
              <c:strCache>
                <c:ptCount val="1"/>
                <c:pt idx="0">
                  <c:v>2021 Conservative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CNESA!$C$40:$T$40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5790.8</c:v>
                </c:pt>
                <c:pt idx="12">
                  <c:v>35519.1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CNESA!$B$41</c:f>
              <c:strCache>
                <c:ptCount val="1"/>
                <c:pt idx="0">
                  <c:v>2021 Aggressive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CNESA!$C$41:$T$41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3269.2</c:v>
                </c:pt>
                <c:pt idx="8">
                  <c:v>6614.8</c:v>
                </c:pt>
                <c:pt idx="12">
                  <c:v>55883.2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CNESA!$B$42</c:f>
              <c:strCache>
                <c:ptCount val="1"/>
                <c:pt idx="0">
                  <c:v>2020 Conservative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CNESA!$C$42:$T$42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2726.7</c:v>
                </c:pt>
                <c:pt idx="11">
                  <c:v>15529.9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CNESA!$B$43</c:f>
              <c:strCache>
                <c:ptCount val="1"/>
                <c:pt idx="0">
                  <c:v>2020 Aggressive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CNESA!$C$1:$T$1</c:f>
              <c:numCache>
                <c:formatCode>General</c:formatCode>
                <c:ptCount val="18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  <c:pt idx="13">
                  <c:v>2026</c:v>
                </c:pt>
                <c:pt idx="14">
                  <c:v>2027</c:v>
                </c:pt>
                <c:pt idx="15">
                  <c:v>2028</c:v>
                </c:pt>
                <c:pt idx="16">
                  <c:v>2029</c:v>
                </c:pt>
                <c:pt idx="17">
                  <c:v>2030</c:v>
                </c:pt>
              </c:numCache>
            </c:numRef>
          </c:xVal>
          <c:yVal>
            <c:numRef>
              <c:f>CNESA!$C$43:$T$43</c:f>
              <c:numCache>
                <c:formatCode>0_);[Red]\(0\)</c:formatCode>
                <c:ptCount val="18"/>
                <c:pt idx="0">
                  <c:v>44</c:v>
                </c:pt>
                <c:pt idx="1">
                  <c:v>71</c:v>
                </c:pt>
                <c:pt idx="2">
                  <c:v>132</c:v>
                </c:pt>
                <c:pt idx="3">
                  <c:v>243</c:v>
                </c:pt>
                <c:pt idx="4">
                  <c:v>389.8</c:v>
                </c:pt>
                <c:pt idx="5">
                  <c:v>1072.7</c:v>
                </c:pt>
                <c:pt idx="6">
                  <c:v>1709.6</c:v>
                </c:pt>
                <c:pt idx="7">
                  <c:v>3092.2</c:v>
                </c:pt>
                <c:pt idx="11">
                  <c:v>23834.8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37376"/>
        <c:axId val="1395534976"/>
        <c:extLst>
          <c:ext xmlns:c15="http://schemas.microsoft.com/office/drawing/2012/chart" uri="{02D57815-91ED-43cb-92C2-25804820EDAC}">
            <c15:filteredScatterSeries>
              <c15:ser>
                <c:idx val="10"/>
                <c:order val="10"/>
                <c:tx>
                  <c:strRef>
                    <c:extLst>
                      <c:ext uri="{02D57815-91ED-43cb-92C2-25804820EDAC}">
                        <c15:formulaRef>
                          <c15:sqref>CNESA!$B$44</c15:sqref>
                        </c15:formulaRef>
                      </c:ext>
                    </c:extLst>
                    <c:strCache>
                      <c:ptCount val="1"/>
                      <c:pt idx="0">
                        <c:v>2019 Projection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xVal>
                  <c:numRef>
                    <c:f>{2013,2014,2015,2016,2017,2018,2019,2020,2021,2022,2023,2024,2025,2026,2027,2028,2029,2030}</c:f>
                    <c:numCache>
                      <c:formatCode>General</c:formatCode>
                      <c:ptCount val="18"/>
                      <c:pt idx="0">
                        <c:v>2013</c:v>
                      </c:pt>
                      <c:pt idx="1">
                        <c:v>2014</c:v>
                      </c:pt>
                      <c:pt idx="2">
                        <c:v>2015</c:v>
                      </c:pt>
                      <c:pt idx="3">
                        <c:v>2016</c:v>
                      </c:pt>
                      <c:pt idx="4">
                        <c:v>2017</c:v>
                      </c:pt>
                      <c:pt idx="5">
                        <c:v>2018</c:v>
                      </c:pt>
                      <c:pt idx="6">
                        <c:v>2019</c:v>
                      </c:pt>
                      <c:pt idx="7">
                        <c:v>2020</c:v>
                      </c:pt>
                      <c:pt idx="8">
                        <c:v>2021</c:v>
                      </c:pt>
                      <c:pt idx="9">
                        <c:v>2022</c:v>
                      </c:pt>
                      <c:pt idx="10">
                        <c:v>2023</c:v>
                      </c:pt>
                      <c:pt idx="11">
                        <c:v>2024</c:v>
                      </c:pt>
                      <c:pt idx="12">
                        <c:v>2025</c:v>
                      </c:pt>
                      <c:pt idx="13">
                        <c:v>2026</c:v>
                      </c:pt>
                      <c:pt idx="14">
                        <c:v>2027</c:v>
                      </c:pt>
                      <c:pt idx="15">
                        <c:v>2028</c:v>
                      </c:pt>
                      <c:pt idx="16">
                        <c:v>2029</c:v>
                      </c:pt>
                      <c:pt idx="17">
                        <c:v>2030</c:v>
                      </c:pt>
                    </c:numCache>
                  </c:numRef>
                </c:xVal>
                <c:yVal>
                  <c:numRef>
                    <c:f>{44,71,132,243,389.8,1072.7,1914.5,#N/A,#N/A,#N/A,19319.2,#N/A,#N/A,#N/A,#N/A,#N/A,#N/A,#N/A}</c:f>
                    <c:numCache>
                      <c:formatCode>General</c:formatCode>
                      <c:ptCount val="18"/>
                      <c:pt idx="0">
                        <c:v>44</c:v>
                      </c:pt>
                      <c:pt idx="1">
                        <c:v>71</c:v>
                      </c:pt>
                      <c:pt idx="2">
                        <c:v>132</c:v>
                      </c:pt>
                      <c:pt idx="3">
                        <c:v>243</c:v>
                      </c:pt>
                      <c:pt idx="4">
                        <c:v>389.8</c:v>
                      </c:pt>
                      <c:pt idx="5">
                        <c:v>1072.7</c:v>
                      </c:pt>
                      <c:pt idx="6">
                        <c:v>1914.5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19319.2</c:v>
                      </c:pt>
                      <c:pt idx="11">
                        <c:v>#N/A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#N/A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valAx>
        <c:axId val="1395537376"/>
        <c:scaling>
          <c:orientation val="minMax"/>
          <c:max val="2025"/>
          <c:min val="20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95534976"/>
        <c:crosses val="autoZero"/>
        <c:crossBetween val="midCat"/>
      </c:valAx>
      <c:valAx>
        <c:axId val="1395534976"/>
        <c:scaling>
          <c:orientation val="minMax"/>
          <c:max val="12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95537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6465713981632"/>
          <c:w val="1"/>
          <c:h val="0.1535592521892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span"/>
    <c:showDLblsOverMax val="0"/>
    <c:extLst>
      <c:ext uri="{0b15fc19-7d7d-44ad-8c2d-2c3a37ce22c3}">
        <chartProps xmlns="https://web.wps.cn/et/2018/main" chartId="{57516d34-e2bb-473a-8179-1c3f2bea7fb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Estimated Energy Storage Capcity under Noval</a:t>
            </a:r>
            <a:r>
              <a:rPr lang="en-US" altLang="zh-CN" baseline="0"/>
              <a:t> Power System Development</a:t>
            </a:r>
            <a:endParaRPr lang="en-US" altLang="zh-CN" baseline="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841502624671916"/>
          <c:y val="0.180393700787402"/>
          <c:w val="0.885294181977253"/>
          <c:h val="0.60630358705161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'CN LT Forecast'!$A$3</c:f>
              <c:strCache>
                <c:ptCount val="1"/>
                <c:pt idx="0">
                  <c:v>Pumped Hydro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'CN LT Forecast'!$B$2:$F$2</c:f>
              <c:numCache>
                <c:formatCode>General</c:formatCode>
                <c:ptCount val="5"/>
                <c:pt idx="0">
                  <c:v>2025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2060</c:v>
                </c:pt>
              </c:numCache>
            </c:numRef>
          </c:cat>
          <c:val>
            <c:numRef>
              <c:f>'CN LT Forecast'!$B$3:$F$3</c:f>
              <c:numCache>
                <c:formatCode>General</c:formatCode>
                <c:ptCount val="5"/>
                <c:pt idx="0">
                  <c:v>67000</c:v>
                </c:pt>
                <c:pt idx="1">
                  <c:v>145000</c:v>
                </c:pt>
                <c:pt idx="2">
                  <c:v>234000</c:v>
                </c:pt>
                <c:pt idx="3">
                  <c:v>323000</c:v>
                </c:pt>
                <c:pt idx="4">
                  <c:v>412000</c:v>
                </c:pt>
              </c:numCache>
            </c:numRef>
          </c:val>
        </c:ser>
        <c:ser>
          <c:idx val="1"/>
          <c:order val="1"/>
          <c:tx>
            <c:strRef>
              <c:f>'CN LT Forecast'!$A$4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'CN LT Forecast'!$B$2:$F$2</c:f>
              <c:numCache>
                <c:formatCode>General</c:formatCode>
                <c:ptCount val="5"/>
                <c:pt idx="0">
                  <c:v>2025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2060</c:v>
                </c:pt>
              </c:numCache>
            </c:numRef>
          </c:cat>
          <c:val>
            <c:numRef>
              <c:f>'CN LT Forecast'!$B$4:$F$4</c:f>
              <c:numCache>
                <c:formatCode>General</c:formatCode>
                <c:ptCount val="5"/>
                <c:pt idx="0">
                  <c:v>24000</c:v>
                </c:pt>
                <c:pt idx="1">
                  <c:v>10000</c:v>
                </c:pt>
                <c:pt idx="2">
                  <c:v>42000</c:v>
                </c:pt>
                <c:pt idx="3">
                  <c:v>82000</c:v>
                </c:pt>
                <c:pt idx="4">
                  <c:v>134000</c:v>
                </c:pt>
              </c:numCache>
            </c:numRef>
          </c:val>
        </c:ser>
        <c:ser>
          <c:idx val="2"/>
          <c:order val="2"/>
          <c:tx>
            <c:strRef>
              <c:f>'CN LT Forecast'!$A$5</c:f>
              <c:strCache>
                <c:ptCount val="1"/>
                <c:pt idx="0">
                  <c:v>Electrochemical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'CN LT Forecast'!$B$2:$F$2</c:f>
              <c:numCache>
                <c:formatCode>General</c:formatCode>
                <c:ptCount val="5"/>
                <c:pt idx="0">
                  <c:v>2025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2060</c:v>
                </c:pt>
              </c:numCache>
            </c:numRef>
          </c:cat>
          <c:val>
            <c:numRef>
              <c:f>'CN LT Forecast'!$B$5:$F$5</c:f>
              <c:numCache>
                <c:formatCode>General</c:formatCode>
                <c:ptCount val="5"/>
                <c:pt idx="0">
                  <c:v>33000</c:v>
                </c:pt>
                <c:pt idx="1">
                  <c:v>92000</c:v>
                </c:pt>
                <c:pt idx="2">
                  <c:v>359000</c:v>
                </c:pt>
                <c:pt idx="3">
                  <c:v>665000</c:v>
                </c:pt>
                <c:pt idx="4">
                  <c:v>1063000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7390560"/>
        <c:axId val="1397386240"/>
      </c:barChart>
      <c:catAx>
        <c:axId val="139739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97386240"/>
        <c:crosses val="autoZero"/>
        <c:auto val="1"/>
        <c:lblAlgn val="ctr"/>
        <c:lblOffset val="100"/>
        <c:noMultiLvlLbl val="0"/>
      </c:catAx>
      <c:valAx>
        <c:axId val="139738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97390560"/>
        <c:crosses val="autoZero"/>
        <c:crossBetween val="between"/>
        <c:dispUnits>
          <c:builtInUnit val="thousands"/>
          <c:dispUnitsLbl>
            <c:layout>
              <c:manualLayout>
                <c:xMode val="edge"/>
                <c:yMode val="edge"/>
                <c:x val="0.0305555555555556"/>
                <c:y val="0.0970603674540682"/>
              </c:manualLayout>
            </c:layout>
            <c:tx>
              <c:rich>
                <a:bodyPr rot="0" spcFirstLastPara="1" vertOverflow="ellipsis" vert="horz" wrap="square" anchor="ctr" anchorCtr="1">
                  <a:spAutoFit/>
                </a:bodyPr>
                <a:lstStyle/>
                <a:p>
                  <a:pPr>
                    <a:defRPr lang="zh-CN"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 altLang="zh-CN"/>
                    <a:t>GW</a:t>
                  </a:r>
                  <a:endParaRPr lang="en-US" altLang="zh-CN"/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4a0a271-a4f6-4d4d-a3a0-05a4961c509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"/>
        <c:varyColors val="0"/>
        <c:ser>
          <c:idx val="0"/>
          <c:order val="0"/>
          <c:tx>
            <c:strRef>
              <c:f>'CN LT Forecast'!$A$28</c:f>
              <c:strCache>
                <c:ptCount val="1"/>
                <c:pt idx="0">
                  <c:v>Potential Battery Storage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'CN LT Forecast'!$B$26:$AP$26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xVal>
          <c:yVal>
            <c:numRef>
              <c:f>'CN LT Forecast'!$B$28:$AP$28</c:f>
              <c:numCache>
                <c:formatCode>0_);[Red]\(0\)</c:formatCode>
                <c:ptCount val="41"/>
                <c:pt idx="0">
                  <c:v>4903.8</c:v>
                </c:pt>
                <c:pt idx="1">
                  <c:v>9922.2</c:v>
                </c:pt>
                <c:pt idx="2">
                  <c:v>19615.2</c:v>
                </c:pt>
                <c:pt idx="3">
                  <c:v>51763.65</c:v>
                </c:pt>
                <c:pt idx="4">
                  <c:v>75710</c:v>
                </c:pt>
                <c:pt idx="5">
                  <c:v>98949.559143541</c:v>
                </c:pt>
                <c:pt idx="6">
                  <c:v>129322.615964881</c:v>
                </c:pt>
                <c:pt idx="7">
                  <c:v>169018.832875636</c:v>
                </c:pt>
                <c:pt idx="8">
                  <c:v>220900</c:v>
                </c:pt>
                <c:pt idx="9">
                  <c:v>263309.084537545</c:v>
                </c:pt>
                <c:pt idx="10">
                  <c:v>313860</c:v>
                </c:pt>
                <c:pt idx="11">
                  <c:v>331269.11245362</c:v>
                </c:pt>
                <c:pt idx="12">
                  <c:v>349643.86945074</c:v>
                </c:pt>
                <c:pt idx="13">
                  <c:v>369037.833135144</c:v>
                </c:pt>
                <c:pt idx="14">
                  <c:v>389507.536622973</c:v>
                </c:pt>
                <c:pt idx="15">
                  <c:v>411112.648795923</c:v>
                </c:pt>
                <c:pt idx="16">
                  <c:v>433916.148235144</c:v>
                </c:pt>
                <c:pt idx="17">
                  <c:v>457984.506802873</c:v>
                </c:pt>
                <c:pt idx="18">
                  <c:v>483387.883406923</c:v>
                </c:pt>
                <c:pt idx="19">
                  <c:v>510200.328512858</c:v>
                </c:pt>
                <c:pt idx="20">
                  <c:v>538500</c:v>
                </c:pt>
                <c:pt idx="21">
                  <c:v>572741.202902248</c:v>
                </c:pt>
                <c:pt idx="22">
                  <c:v>609159.675955273</c:v>
                </c:pt>
                <c:pt idx="23">
                  <c:v>647893.863632621</c:v>
                </c:pt>
                <c:pt idx="24">
                  <c:v>689091.01357462</c:v>
                </c:pt>
                <c:pt idx="25">
                  <c:v>732907.736348853</c:v>
                </c:pt>
                <c:pt idx="26">
                  <c:v>779510.600803725</c:v>
                </c:pt>
                <c:pt idx="27">
                  <c:v>829076.767278328</c:v>
                </c:pt>
                <c:pt idx="28">
                  <c:v>881794.66107576</c:v>
                </c:pt>
                <c:pt idx="29">
                  <c:v>937864.688760095</c:v>
                </c:pt>
                <c:pt idx="30">
                  <c:v>997500</c:v>
                </c:pt>
                <c:pt idx="31">
                  <c:v>1045403.78043856</c:v>
                </c:pt>
                <c:pt idx="32">
                  <c:v>1095608.08436616</c:v>
                </c:pt>
                <c:pt idx="33">
                  <c:v>1148223.39175482</c:v>
                </c:pt>
                <c:pt idx="34">
                  <c:v>1203365.48824911</c:v>
                </c:pt>
                <c:pt idx="35">
                  <c:v>1261155.71996483</c:v>
                </c:pt>
                <c:pt idx="36">
                  <c:v>1321721.26052426</c:v>
                </c:pt>
                <c:pt idx="37">
                  <c:v>1385195.39091538</c:v>
                </c:pt>
                <c:pt idx="38">
                  <c:v>1451717.79279099</c:v>
                </c:pt>
                <c:pt idx="39">
                  <c:v>1521434.85585326</c:v>
                </c:pt>
                <c:pt idx="40">
                  <c:v>1594500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'CN LT Forecast'!$A$27</c:f>
              <c:strCache>
                <c:ptCount val="1"/>
                <c:pt idx="0">
                  <c:v>BAU Battery Storage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'CN LT Forecast'!$B$26:$AP$26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xVal>
          <c:yVal>
            <c:numRef>
              <c:f>'CN LT Forecast'!$B$27:$AP$27</c:f>
              <c:numCache>
                <c:formatCode>0_);[Red]\(0\)</c:formatCode>
                <c:ptCount val="41"/>
                <c:pt idx="0">
                  <c:v>3269.2</c:v>
                </c:pt>
                <c:pt idx="1">
                  <c:v>5729.7</c:v>
                </c:pt>
                <c:pt idx="2">
                  <c:v>9531.7</c:v>
                </c:pt>
                <c:pt idx="3">
                  <c:v>15260</c:v>
                </c:pt>
                <c:pt idx="4">
                  <c:v>23750</c:v>
                </c:pt>
                <c:pt idx="5">
                  <c:v>35440</c:v>
                </c:pt>
                <c:pt idx="6">
                  <c:v>48510.3</c:v>
                </c:pt>
                <c:pt idx="7">
                  <c:v>55239.0375</c:v>
                </c:pt>
                <c:pt idx="8">
                  <c:v>61967.775</c:v>
                </c:pt>
                <c:pt idx="9">
                  <c:v>68696.5125</c:v>
                </c:pt>
                <c:pt idx="10">
                  <c:v>75425.25</c:v>
                </c:pt>
                <c:pt idx="11">
                  <c:v>82153.9875</c:v>
                </c:pt>
                <c:pt idx="12">
                  <c:v>88882.725</c:v>
                </c:pt>
                <c:pt idx="13">
                  <c:v>95611.4625</c:v>
                </c:pt>
                <c:pt idx="14">
                  <c:v>102340.2</c:v>
                </c:pt>
                <c:pt idx="15">
                  <c:v>109068.9375</c:v>
                </c:pt>
                <c:pt idx="16">
                  <c:v>115797.675</c:v>
                </c:pt>
                <c:pt idx="17">
                  <c:v>122526.4125</c:v>
                </c:pt>
                <c:pt idx="18">
                  <c:v>129255.15</c:v>
                </c:pt>
                <c:pt idx="19">
                  <c:v>135983.8875</c:v>
                </c:pt>
                <c:pt idx="20">
                  <c:v>142712.625</c:v>
                </c:pt>
                <c:pt idx="21">
                  <c:v>149441.3625</c:v>
                </c:pt>
                <c:pt idx="22">
                  <c:v>156170.1</c:v>
                </c:pt>
                <c:pt idx="23">
                  <c:v>162898.8375</c:v>
                </c:pt>
                <c:pt idx="24">
                  <c:v>169627.575</c:v>
                </c:pt>
                <c:pt idx="25">
                  <c:v>176356.3125</c:v>
                </c:pt>
                <c:pt idx="26">
                  <c:v>183085.05</c:v>
                </c:pt>
                <c:pt idx="27">
                  <c:v>189813.7875</c:v>
                </c:pt>
                <c:pt idx="28">
                  <c:v>196542.525</c:v>
                </c:pt>
                <c:pt idx="29">
                  <c:v>203271.2625</c:v>
                </c:pt>
                <c:pt idx="30" c:formatCode="General">
                  <c:v>210000</c:v>
                </c:pt>
                <c:pt idx="31">
                  <c:v>217163.461538462</c:v>
                </c:pt>
                <c:pt idx="32">
                  <c:v>224326.923076923</c:v>
                </c:pt>
                <c:pt idx="33">
                  <c:v>231490.384615385</c:v>
                </c:pt>
                <c:pt idx="34">
                  <c:v>238653.846153846</c:v>
                </c:pt>
                <c:pt idx="35">
                  <c:v>245817.307692308</c:v>
                </c:pt>
                <c:pt idx="36">
                  <c:v>252980.769230769</c:v>
                </c:pt>
                <c:pt idx="37">
                  <c:v>260144.230769231</c:v>
                </c:pt>
                <c:pt idx="38">
                  <c:v>267307.692307692</c:v>
                </c:pt>
                <c:pt idx="39">
                  <c:v>274471.153846154</c:v>
                </c:pt>
                <c:pt idx="40">
                  <c:v>281634.615384615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2951680"/>
        <c:axId val="1492952160"/>
      </c:scatterChart>
      <c:valAx>
        <c:axId val="1492951680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92952160"/>
        <c:crosses val="autoZero"/>
        <c:crossBetween val="midCat"/>
      </c:valAx>
      <c:valAx>
        <c:axId val="14929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92951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7ebedd8-c1a9-4ff7-a827-deb54c818b0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5" Type="http://schemas.openxmlformats.org/officeDocument/2006/relationships/image" Target="../media/image15.png"/><Relationship Id="rId4" Type="http://schemas.openxmlformats.org/officeDocument/2006/relationships/image" Target="../media/image14.png"/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923925</xdr:colOff>
      <xdr:row>11</xdr:row>
      <xdr:rowOff>161925</xdr:rowOff>
    </xdr:from>
    <xdr:to>
      <xdr:col>10</xdr:col>
      <xdr:colOff>38100</xdr:colOff>
      <xdr:row>26</xdr:row>
      <xdr:rowOff>47625</xdr:rowOff>
    </xdr:to>
    <xdr:graphicFrame>
      <xdr:nvGraphicFramePr>
        <xdr:cNvPr id="2" name="图表 1"/>
        <xdr:cNvGraphicFramePr/>
      </xdr:nvGraphicFramePr>
      <xdr:xfrm>
        <a:off x="6296660" y="2257425"/>
        <a:ext cx="47561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35</xdr:row>
      <xdr:rowOff>0</xdr:rowOff>
    </xdr:from>
    <xdr:to>
      <xdr:col>5</xdr:col>
      <xdr:colOff>561975</xdr:colOff>
      <xdr:row>52</xdr:row>
      <xdr:rowOff>137015</xdr:rowOff>
    </xdr:to>
    <xdr:pic>
      <xdr:nvPicPr>
        <xdr:cNvPr id="14" name="图片 1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6232525"/>
          <a:ext cx="4697730" cy="312674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400050</xdr:colOff>
      <xdr:row>52</xdr:row>
      <xdr:rowOff>173778</xdr:rowOff>
    </xdr:to>
    <xdr:pic>
      <xdr:nvPicPr>
        <xdr:cNvPr id="16" name="图片 1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826635" y="6232525"/>
          <a:ext cx="5236210" cy="31635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5</xdr:col>
      <xdr:colOff>573510</xdr:colOff>
      <xdr:row>70</xdr:row>
      <xdr:rowOff>9525</xdr:rowOff>
    </xdr:to>
    <xdr:pic>
      <xdr:nvPicPr>
        <xdr:cNvPr id="18" name="图片 1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9574530"/>
          <a:ext cx="4709160" cy="282384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54</xdr:row>
      <xdr:rowOff>0</xdr:rowOff>
    </xdr:from>
    <xdr:to>
      <xdr:col>13</xdr:col>
      <xdr:colOff>409575</xdr:colOff>
      <xdr:row>71</xdr:row>
      <xdr:rowOff>161135</xdr:rowOff>
    </xdr:to>
    <xdr:pic>
      <xdr:nvPicPr>
        <xdr:cNvPr id="20" name="图片 1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826635" y="9574530"/>
          <a:ext cx="5245735" cy="31508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472440</xdr:colOff>
      <xdr:row>58</xdr:row>
      <xdr:rowOff>11430</xdr:rowOff>
    </xdr:from>
    <xdr:to>
      <xdr:col>13</xdr:col>
      <xdr:colOff>22860</xdr:colOff>
      <xdr:row>73</xdr:row>
      <xdr:rowOff>11430</xdr:rowOff>
    </xdr:to>
    <xdr:graphicFrame>
      <xdr:nvGraphicFramePr>
        <xdr:cNvPr id="2" name="Chart 1"/>
        <xdr:cNvGraphicFramePr/>
      </xdr:nvGraphicFramePr>
      <xdr:xfrm>
        <a:off x="5817870" y="10213340"/>
        <a:ext cx="4841240" cy="2638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142874</xdr:colOff>
      <xdr:row>59</xdr:row>
      <xdr:rowOff>133350</xdr:rowOff>
    </xdr:from>
    <xdr:to>
      <xdr:col>25</xdr:col>
      <xdr:colOff>457199</xdr:colOff>
      <xdr:row>83</xdr:row>
      <xdr:rowOff>57150</xdr:rowOff>
    </xdr:to>
    <xdr:graphicFrame>
      <xdr:nvGraphicFramePr>
        <xdr:cNvPr id="3" name="图表 2"/>
        <xdr:cNvGraphicFramePr/>
      </xdr:nvGraphicFramePr>
      <xdr:xfrm>
        <a:off x="10778490" y="10511155"/>
        <a:ext cx="8063865" cy="414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353240</xdr:colOff>
      <xdr:row>27</xdr:row>
      <xdr:rowOff>153103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5519420" cy="4902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7</xdr:col>
      <xdr:colOff>496039</xdr:colOff>
      <xdr:row>43</xdr:row>
      <xdr:rowOff>114695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4925060"/>
          <a:ext cx="5016500" cy="2752725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124608</xdr:colOff>
      <xdr:row>45</xdr:row>
      <xdr:rowOff>134505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812155" y="0"/>
          <a:ext cx="5290820" cy="80492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10</xdr:col>
      <xdr:colOff>639221</xdr:colOff>
      <xdr:row>94</xdr:row>
      <xdr:rowOff>157569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8091170"/>
          <a:ext cx="7096760" cy="865759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47</xdr:row>
      <xdr:rowOff>0</xdr:rowOff>
    </xdr:from>
    <xdr:to>
      <xdr:col>20</xdr:col>
      <xdr:colOff>750794</xdr:colOff>
      <xdr:row>72</xdr:row>
      <xdr:rowOff>8024</xdr:rowOff>
    </xdr:to>
    <xdr:pic>
      <xdr:nvPicPr>
        <xdr:cNvPr id="8" name="图片 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749540" y="8267065"/>
          <a:ext cx="6149975" cy="4404995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</xdr:row>
      <xdr:rowOff>0</xdr:rowOff>
    </xdr:from>
    <xdr:to>
      <xdr:col>24</xdr:col>
      <xdr:colOff>449916</xdr:colOff>
      <xdr:row>32</xdr:row>
      <xdr:rowOff>114300</xdr:rowOff>
    </xdr:to>
    <xdr:pic>
      <xdr:nvPicPr>
        <xdr:cNvPr id="3" name="图片 2"/>
        <xdr:cNvPicPr>
          <a:picLocks noChangeAspect="1" noChangeArrowheads="1"/>
        </xdr:cNvPicPr>
      </xdr:nvPicPr>
      <xdr:blipFill>
        <a:blip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270105" y="2462530"/>
          <a:ext cx="4843780" cy="32804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581968</xdr:colOff>
      <xdr:row>49</xdr:row>
      <xdr:rowOff>138408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45795" y="214630"/>
          <a:ext cx="6393815" cy="87153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</xdr:row>
      <xdr:rowOff>0</xdr:rowOff>
    </xdr:from>
    <xdr:to>
      <xdr:col>8</xdr:col>
      <xdr:colOff>304800</xdr:colOff>
      <xdr:row>69</xdr:row>
      <xdr:rowOff>123825</xdr:rowOff>
    </xdr:to>
    <xdr:pic>
      <xdr:nvPicPr>
        <xdr:cNvPr id="3" name="图片 2"/>
        <xdr:cNvPicPr>
          <a:picLocks noChangeAspect="1" noChangeArrowheads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45795" y="9319895"/>
          <a:ext cx="4825365" cy="3114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638176</xdr:colOff>
      <xdr:row>50</xdr:row>
      <xdr:rowOff>131894</xdr:rowOff>
    </xdr:from>
    <xdr:to>
      <xdr:col>15</xdr:col>
      <xdr:colOff>0</xdr:colOff>
      <xdr:row>66</xdr:row>
      <xdr:rowOff>13225</xdr:rowOff>
    </xdr:to>
    <xdr:pic>
      <xdr:nvPicPr>
        <xdr:cNvPr id="5" name="图片 4"/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04535" y="9099550"/>
          <a:ext cx="3882390" cy="269557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50</xdr:row>
      <xdr:rowOff>0</xdr:rowOff>
    </xdr:from>
    <xdr:to>
      <xdr:col>21</xdr:col>
      <xdr:colOff>404247</xdr:colOff>
      <xdr:row>65</xdr:row>
      <xdr:rowOff>112395</xdr:rowOff>
    </xdr:to>
    <xdr:pic>
      <xdr:nvPicPr>
        <xdr:cNvPr id="8" name="图片 7"/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2720" y="8968105"/>
          <a:ext cx="3632835" cy="275082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21</xdr:col>
      <xdr:colOff>342900</xdr:colOff>
      <xdr:row>34</xdr:row>
      <xdr:rowOff>141605</xdr:rowOff>
    </xdr:to>
    <xdr:pic>
      <xdr:nvPicPr>
        <xdr:cNvPr id="4" name="图片 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395335" y="2459990"/>
          <a:ext cx="5509260" cy="38354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19050</xdr:colOff>
      <xdr:row>22</xdr:row>
      <xdr:rowOff>28575</xdr:rowOff>
    </xdr:to>
    <xdr:graphicFrame>
      <xdr:nvGraphicFramePr>
        <xdr:cNvPr id="7" name="图表 6"/>
        <xdr:cNvGraphicFramePr/>
      </xdr:nvGraphicFramePr>
      <xdr:xfrm>
        <a:off x="0" y="1231265"/>
        <a:ext cx="6149975" cy="2667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13</xdr:col>
      <xdr:colOff>457200</xdr:colOff>
      <xdr:row>22</xdr:row>
      <xdr:rowOff>28575</xdr:rowOff>
    </xdr:to>
    <xdr:graphicFrame>
      <xdr:nvGraphicFramePr>
        <xdr:cNvPr id="9" name="图表 8"/>
        <xdr:cNvGraphicFramePr/>
      </xdr:nvGraphicFramePr>
      <xdr:xfrm>
        <a:off x="7039610" y="1231265"/>
        <a:ext cx="5909310" cy="2667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2021%20&#26234;&#27719;&#32511;&#34892;\Energy%20Policy%20Simulator\Electricity\Energy%20Storage\2020&#24180;&#30005;&#32593;&#20391;&#20648;&#33021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</sheetNames>
    <sheetDataSet>
      <sheetData sheetId="0">
        <row r="2">
          <cell r="H2" t="str">
            <v>江苏</v>
          </cell>
          <cell r="I2">
            <v>437.72</v>
          </cell>
        </row>
        <row r="3">
          <cell r="H3" t="str">
            <v>福建</v>
          </cell>
          <cell r="I3">
            <v>330</v>
          </cell>
        </row>
        <row r="4">
          <cell r="H4" t="str">
            <v>河南</v>
          </cell>
          <cell r="I4">
            <v>110.4</v>
          </cell>
        </row>
        <row r="5">
          <cell r="H5" t="str">
            <v>湖南</v>
          </cell>
          <cell r="I5">
            <v>60</v>
          </cell>
        </row>
        <row r="6">
          <cell r="H6" t="str">
            <v>青海</v>
          </cell>
          <cell r="I6">
            <v>48</v>
          </cell>
        </row>
        <row r="7">
          <cell r="H7" t="str">
            <v>广东</v>
          </cell>
          <cell r="I7">
            <v>27.187</v>
          </cell>
        </row>
        <row r="8">
          <cell r="H8" t="str">
            <v>浙江</v>
          </cell>
          <cell r="I8">
            <v>22.5</v>
          </cell>
        </row>
        <row r="9">
          <cell r="H9" t="str">
            <v>北京</v>
          </cell>
          <cell r="I9">
            <v>19</v>
          </cell>
        </row>
        <row r="10">
          <cell r="H10" t="str">
            <v>天津</v>
          </cell>
          <cell r="I10">
            <v>10</v>
          </cell>
        </row>
        <row r="11">
          <cell r="H11" t="str">
            <v>河北</v>
          </cell>
          <cell r="I11">
            <v>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http://www.esresearch.com.cn/report/?category_id=26" TargetMode="External"/><Relationship Id="rId6" Type="http://schemas.openxmlformats.org/officeDocument/2006/relationships/hyperlink" Target="http://paper.people.com.cn/rmrb/html/2022-02/23/nw.D110000renmrb_20220223_2-12.htm" TargetMode="External"/><Relationship Id="rId5" Type="http://schemas.openxmlformats.org/officeDocument/2006/relationships/hyperlink" Target="http://www.gov.cn/zhengce/zhengceku/2021-07/24/content_5627088.htm" TargetMode="External"/><Relationship Id="rId4" Type="http://schemas.openxmlformats.org/officeDocument/2006/relationships/hyperlink" Target="https://www.eco.gov.cn/news_info/54859.html" TargetMode="External"/><Relationship Id="rId3" Type="http://schemas.openxmlformats.org/officeDocument/2006/relationships/hyperlink" Target="http://nyj.shandong.gov.cn/module/download/downfile.jsp?classid=0&amp;filename=fc5a5cf0fd0d465eb33aa1ef19745990.pdf" TargetMode="External"/><Relationship Id="rId2" Type="http://schemas.openxmlformats.org/officeDocument/2006/relationships/hyperlink" Target="http://nyj.shandong.gov.cn/module/download/downfile.jsp?classid=0&amp;filename=5ba9629b4b9b47d9af21775a4bb035cd.pdf" TargetMode="External"/><Relationship Id="rId1" Type="http://schemas.openxmlformats.org/officeDocument/2006/relationships/hyperlink" Target="https://news.bjx.com.cn/html/20201225/1125005.s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://mm.chinapower.com.cn/zx/zxbg/20230203/186424.html" TargetMode="Externa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workbookViewId="0">
      <selection activeCell="D8" sqref="D8"/>
    </sheetView>
  </sheetViews>
  <sheetFormatPr defaultColWidth="9" defaultRowHeight="13.85" outlineLevelCol="3"/>
  <cols>
    <col min="2" max="2" width="44.7522123893805" style="34" customWidth="1"/>
    <col min="4" max="4" width="44.7522123893805" customWidth="1"/>
  </cols>
  <sheetData>
    <row r="1" spans="1:4">
      <c r="A1" t="s">
        <v>0</v>
      </c>
    </row>
    <row r="4" spans="1:4">
      <c r="A4" t="s">
        <v>1</v>
      </c>
      <c r="B4" s="85" t="s">
        <v>2</v>
      </c>
      <c r="D4" s="85" t="s">
        <v>3</v>
      </c>
    </row>
    <row r="5" spans="1:4">
      <c r="B5" s="34" t="s">
        <v>4</v>
      </c>
      <c r="D5" t="s">
        <v>5</v>
      </c>
    </row>
    <row r="6" spans="1:4">
      <c r="B6" s="34" t="s">
        <v>6</v>
      </c>
      <c r="D6" s="34" t="s">
        <v>7</v>
      </c>
    </row>
    <row r="7" spans="1:4">
      <c r="B7" s="34">
        <v>2020</v>
      </c>
      <c r="D7" t="s">
        <v>8</v>
      </c>
    </row>
    <row r="8" spans="1:4">
      <c r="B8" s="86" t="s">
        <v>9</v>
      </c>
      <c r="D8" s="87" t="s">
        <v>10</v>
      </c>
    </row>
    <row r="10" spans="1:4">
      <c r="B10" s="85" t="s">
        <v>11</v>
      </c>
      <c r="D10" s="85" t="s">
        <v>12</v>
      </c>
    </row>
    <row r="11" spans="1:4">
      <c r="B11" s="34" t="s">
        <v>13</v>
      </c>
      <c r="D11" t="s">
        <v>14</v>
      </c>
    </row>
    <row r="12" spans="1:4">
      <c r="B12" s="34" t="s">
        <v>15</v>
      </c>
      <c r="D12" t="s">
        <v>16</v>
      </c>
    </row>
    <row r="13" spans="1:4">
      <c r="B13" s="34" t="s">
        <v>17</v>
      </c>
      <c r="D13" t="s">
        <v>18</v>
      </c>
    </row>
    <row r="14" spans="1:4">
      <c r="B14" s="29" t="s">
        <v>19</v>
      </c>
      <c r="D14" t="s">
        <v>20</v>
      </c>
    </row>
    <row r="15" spans="1:4">
      <c r="B15" s="29" t="s">
        <v>21</v>
      </c>
      <c r="D15" t="s">
        <v>22</v>
      </c>
    </row>
    <row r="17" spans="1:2">
      <c r="B17" s="85" t="s">
        <v>23</v>
      </c>
    </row>
    <row r="18" spans="1:2">
      <c r="B18" t="s">
        <v>24</v>
      </c>
    </row>
    <row r="19" spans="1:2">
      <c r="B19" s="87" t="s">
        <v>25</v>
      </c>
    </row>
    <row r="20" spans="1:2">
      <c r="B20"/>
    </row>
    <row r="21" spans="1:2">
      <c r="B21" t="s">
        <v>26</v>
      </c>
    </row>
    <row r="22" spans="1:2">
      <c r="B22" s="88" t="s">
        <v>27</v>
      </c>
    </row>
    <row r="23" spans="1:2">
      <c r="B23" s="29" t="s">
        <v>28</v>
      </c>
    </row>
    <row r="24" spans="1:2">
      <c r="B24"/>
    </row>
    <row r="25" spans="1:2">
      <c r="B25" t="s">
        <v>29</v>
      </c>
    </row>
    <row r="26" spans="1:2">
      <c r="B26" s="29" t="s">
        <v>30</v>
      </c>
    </row>
    <row r="27" spans="1:2">
      <c r="B27"/>
    </row>
    <row r="29" spans="1:2">
      <c r="A29" s="89" t="s">
        <v>31</v>
      </c>
      <c r="B29" s="90"/>
    </row>
    <row r="30" spans="1:2">
      <c r="A30" s="91" t="s">
        <v>32</v>
      </c>
      <c r="B30" s="91"/>
    </row>
    <row r="31" spans="1:2">
      <c r="A31" t="s">
        <v>33</v>
      </c>
    </row>
  </sheetData>
  <hyperlinks>
    <hyperlink ref="B8" r:id="rId1" display="电网侧储能57项目总储能规模超1.98GWh"/>
    <hyperlink ref="B14" r:id="rId2" display="2021 Pilot Projects"/>
    <hyperlink ref="B15" r:id="rId3" display="2022 Pilot Projects"/>
    <hyperlink ref="B19" r:id="rId4" display="《储能产业研究白皮书2022》发布：2021年中国新型储能新增投运2.4GW/4.9GWh - 生态中国网 (eco.gov.cn)"/>
    <hyperlink ref="B23" r:id="rId5" display="国家发展改革委 国家能源局关于加快推动新型储能发展的指导意见_其他_中国政府网 (www.gov.cn)"/>
    <hyperlink ref="B26" r:id="rId6" display="坚决扛牢电网责任 积极推进碳达峰碳中和 (people.com.cn)"/>
    <hyperlink ref="D8" r:id="rId7" display="研究报告_CNESA 储能研究平台 (esresearch.com.cn)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8"/>
  <sheetViews>
    <sheetView workbookViewId="0">
      <selection activeCell="A37" sqref="A37"/>
    </sheetView>
  </sheetViews>
  <sheetFormatPr defaultColWidth="9" defaultRowHeight="13.85"/>
  <cols>
    <col min="1" max="1" width="49.2477876106195" customWidth="1"/>
    <col min="2" max="2" width="25.6283185840708" customWidth="1"/>
    <col min="3" max="3" width="15.6283185840708" customWidth="1"/>
  </cols>
  <sheetData>
    <row r="1" ht="15" customHeight="1" spans="1:10">
      <c r="A1" s="80" t="s">
        <v>34</v>
      </c>
      <c r="B1" s="80" t="s">
        <v>35</v>
      </c>
      <c r="C1" s="80" t="s">
        <v>36</v>
      </c>
      <c r="D1" s="80" t="s">
        <v>37</v>
      </c>
      <c r="E1" s="80" t="s">
        <v>38</v>
      </c>
      <c r="F1" s="80" t="s">
        <v>39</v>
      </c>
      <c r="H1" t="s">
        <v>37</v>
      </c>
      <c r="I1" s="80" t="s">
        <v>38</v>
      </c>
      <c r="J1" s="80" t="s">
        <v>39</v>
      </c>
    </row>
    <row r="2" ht="15" customHeight="1" spans="1:10">
      <c r="A2" s="80" t="s">
        <v>40</v>
      </c>
      <c r="B2" s="80" t="s">
        <v>41</v>
      </c>
      <c r="C2" s="81" t="s">
        <v>42</v>
      </c>
      <c r="D2" s="82" t="s">
        <v>43</v>
      </c>
      <c r="E2">
        <v>5</v>
      </c>
      <c r="F2">
        <v>10</v>
      </c>
      <c r="H2" t="s">
        <v>43</v>
      </c>
      <c r="I2">
        <f t="shared" ref="I2:I11" si="0">SUMIF(D:D,H2,E:E)</f>
        <v>437.72</v>
      </c>
      <c r="J2">
        <f t="shared" ref="J2:J11" si="1">SUMIF(D:D,H2,F:F)</f>
        <v>871</v>
      </c>
    </row>
    <row r="3" ht="15" customHeight="1" spans="1:10">
      <c r="A3" s="80" t="s">
        <v>44</v>
      </c>
      <c r="B3" s="80" t="s">
        <v>45</v>
      </c>
      <c r="C3" s="81" t="s">
        <v>42</v>
      </c>
      <c r="D3" s="82" t="s">
        <v>43</v>
      </c>
      <c r="E3">
        <v>12</v>
      </c>
      <c r="F3">
        <v>24</v>
      </c>
      <c r="H3" t="s">
        <v>46</v>
      </c>
      <c r="I3">
        <f t="shared" si="0"/>
        <v>330</v>
      </c>
      <c r="J3">
        <f t="shared" si="1"/>
        <v>700</v>
      </c>
    </row>
    <row r="4" ht="15" customHeight="1" spans="1:10">
      <c r="A4" s="80" t="s">
        <v>47</v>
      </c>
      <c r="B4" s="80" t="s">
        <v>48</v>
      </c>
      <c r="C4" s="81" t="s">
        <v>42</v>
      </c>
      <c r="D4" s="82" t="s">
        <v>43</v>
      </c>
      <c r="E4">
        <v>16</v>
      </c>
      <c r="F4">
        <v>32</v>
      </c>
      <c r="H4" t="s">
        <v>49</v>
      </c>
      <c r="I4">
        <f t="shared" si="0"/>
        <v>110.4</v>
      </c>
      <c r="J4">
        <f t="shared" si="1"/>
        <v>100.8</v>
      </c>
    </row>
    <row r="5" ht="15" customHeight="1" spans="1:10">
      <c r="A5" s="80" t="s">
        <v>50</v>
      </c>
      <c r="B5" s="80" t="s">
        <v>51</v>
      </c>
      <c r="C5" s="80" t="s">
        <v>52</v>
      </c>
      <c r="D5" s="82" t="s">
        <v>43</v>
      </c>
      <c r="E5">
        <v>24</v>
      </c>
      <c r="F5">
        <v>48</v>
      </c>
      <c r="H5" t="s">
        <v>53</v>
      </c>
      <c r="I5">
        <f t="shared" si="0"/>
        <v>60</v>
      </c>
      <c r="J5">
        <f t="shared" si="1"/>
        <v>120</v>
      </c>
    </row>
    <row r="6" ht="15" customHeight="1" spans="1:10">
      <c r="A6" s="80" t="s">
        <v>54</v>
      </c>
      <c r="B6" s="80" t="s">
        <v>55</v>
      </c>
      <c r="C6" s="80" t="s">
        <v>52</v>
      </c>
      <c r="D6" s="82" t="s">
        <v>43</v>
      </c>
      <c r="E6">
        <v>10</v>
      </c>
      <c r="F6">
        <v>20</v>
      </c>
      <c r="H6" t="s">
        <v>56</v>
      </c>
      <c r="I6">
        <f t="shared" si="0"/>
        <v>48</v>
      </c>
      <c r="J6">
        <f t="shared" si="1"/>
        <v>128</v>
      </c>
    </row>
    <row r="7" ht="15" customHeight="1" spans="1:10">
      <c r="A7" s="80" t="s">
        <v>57</v>
      </c>
      <c r="B7" s="80" t="s">
        <v>58</v>
      </c>
      <c r="C7" s="80" t="s">
        <v>52</v>
      </c>
      <c r="D7" s="82" t="s">
        <v>43</v>
      </c>
      <c r="E7">
        <v>17</v>
      </c>
      <c r="F7">
        <v>30.8</v>
      </c>
      <c r="H7" t="s">
        <v>59</v>
      </c>
      <c r="I7">
        <f t="shared" si="0"/>
        <v>27.187</v>
      </c>
      <c r="J7">
        <f t="shared" si="1"/>
        <v>51.87</v>
      </c>
    </row>
    <row r="8" ht="15" customHeight="1" spans="1:10">
      <c r="A8" s="80" t="s">
        <v>60</v>
      </c>
      <c r="B8" s="80" t="s">
        <v>48</v>
      </c>
      <c r="C8" s="80" t="s">
        <v>61</v>
      </c>
      <c r="D8" s="82" t="s">
        <v>43</v>
      </c>
      <c r="E8">
        <v>16</v>
      </c>
      <c r="F8">
        <v>32</v>
      </c>
      <c r="H8" t="s">
        <v>62</v>
      </c>
      <c r="I8">
        <f t="shared" si="0"/>
        <v>22.5</v>
      </c>
      <c r="J8">
        <f t="shared" si="1"/>
        <v>45.69422</v>
      </c>
    </row>
    <row r="9" ht="15" customHeight="1" spans="1:10">
      <c r="A9" s="80" t="s">
        <v>63</v>
      </c>
      <c r="B9" s="80" t="s">
        <v>55</v>
      </c>
      <c r="C9" s="80" t="s">
        <v>61</v>
      </c>
      <c r="D9" s="82" t="s">
        <v>43</v>
      </c>
      <c r="E9">
        <v>10</v>
      </c>
      <c r="F9">
        <v>20</v>
      </c>
      <c r="H9" t="s">
        <v>64</v>
      </c>
      <c r="I9">
        <f t="shared" si="0"/>
        <v>19</v>
      </c>
      <c r="J9">
        <f t="shared" si="1"/>
        <v>24</v>
      </c>
    </row>
    <row r="10" ht="15" customHeight="1" spans="1:10">
      <c r="A10" s="80" t="s">
        <v>65</v>
      </c>
      <c r="B10" s="80" t="s">
        <v>66</v>
      </c>
      <c r="C10" s="80" t="s">
        <v>61</v>
      </c>
      <c r="D10" s="82" t="s">
        <v>43</v>
      </c>
      <c r="E10">
        <v>8</v>
      </c>
      <c r="F10">
        <v>16</v>
      </c>
      <c r="H10" t="s">
        <v>67</v>
      </c>
      <c r="I10">
        <f t="shared" si="0"/>
        <v>10</v>
      </c>
      <c r="J10">
        <f t="shared" si="1"/>
        <v>10</v>
      </c>
    </row>
    <row r="11" ht="15" customHeight="1" spans="1:10">
      <c r="A11" s="80" t="s">
        <v>68</v>
      </c>
      <c r="B11" s="80" t="s">
        <v>69</v>
      </c>
      <c r="C11" s="80" t="s">
        <v>61</v>
      </c>
      <c r="D11" s="82" t="s">
        <v>43</v>
      </c>
      <c r="E11">
        <v>20.16</v>
      </c>
      <c r="F11">
        <v>35</v>
      </c>
      <c r="H11" t="s">
        <v>70</v>
      </c>
      <c r="I11">
        <f t="shared" si="0"/>
        <v>2</v>
      </c>
      <c r="J11">
        <f t="shared" si="1"/>
        <v>4</v>
      </c>
    </row>
    <row r="12" ht="15" customHeight="1" spans="1:10">
      <c r="A12" s="80" t="s">
        <v>71</v>
      </c>
      <c r="B12" s="80" t="s">
        <v>72</v>
      </c>
      <c r="C12" s="80" t="s">
        <v>61</v>
      </c>
      <c r="D12" s="82" t="s">
        <v>43</v>
      </c>
      <c r="E12">
        <v>7.56</v>
      </c>
      <c r="F12">
        <v>13.2</v>
      </c>
    </row>
    <row r="13" ht="15" customHeight="1" spans="1:10">
      <c r="A13" s="80" t="s">
        <v>73</v>
      </c>
      <c r="B13" s="80" t="s">
        <v>74</v>
      </c>
      <c r="C13" s="80" t="s">
        <v>75</v>
      </c>
      <c r="D13" s="82" t="s">
        <v>43</v>
      </c>
      <c r="E13">
        <v>35.28</v>
      </c>
      <c r="F13">
        <v>61.6</v>
      </c>
    </row>
    <row r="14" ht="15" customHeight="1" spans="1:10">
      <c r="A14" s="83" t="s">
        <v>76</v>
      </c>
      <c r="B14" s="80" t="s">
        <v>77</v>
      </c>
      <c r="C14" s="80" t="s">
        <v>75</v>
      </c>
      <c r="D14" s="82" t="s">
        <v>43</v>
      </c>
      <c r="E14">
        <v>20</v>
      </c>
      <c r="F14">
        <v>75</v>
      </c>
    </row>
    <row r="15" ht="15" customHeight="1" spans="1:10">
      <c r="A15" s="80" t="s">
        <v>78</v>
      </c>
      <c r="B15" s="80"/>
      <c r="C15" s="80" t="s">
        <v>75</v>
      </c>
      <c r="D15" s="82" t="s">
        <v>43</v>
      </c>
      <c r="E15">
        <v>20</v>
      </c>
      <c r="F15">
        <v>75</v>
      </c>
    </row>
    <row r="16" ht="15" customHeight="1" spans="1:10">
      <c r="A16" s="80" t="s">
        <v>79</v>
      </c>
      <c r="B16" s="80" t="s">
        <v>80</v>
      </c>
      <c r="C16" s="80" t="s">
        <v>75</v>
      </c>
      <c r="D16" s="82" t="s">
        <v>43</v>
      </c>
      <c r="E16">
        <v>110.88</v>
      </c>
      <c r="F16">
        <v>193.6</v>
      </c>
    </row>
    <row r="17" ht="15" customHeight="1" spans="1:6">
      <c r="A17" s="80" t="s">
        <v>81</v>
      </c>
      <c r="B17" s="80" t="s">
        <v>82</v>
      </c>
      <c r="C17" s="80" t="s">
        <v>75</v>
      </c>
      <c r="D17" s="82" t="s">
        <v>43</v>
      </c>
      <c r="E17">
        <v>27.72</v>
      </c>
      <c r="F17">
        <v>48.4</v>
      </c>
    </row>
    <row r="18" ht="15" customHeight="1" spans="1:6">
      <c r="A18" s="80" t="s">
        <v>83</v>
      </c>
      <c r="B18" s="80" t="s">
        <v>84</v>
      </c>
      <c r="C18" s="80" t="s">
        <v>75</v>
      </c>
      <c r="D18" s="82" t="s">
        <v>43</v>
      </c>
      <c r="E18">
        <v>22.68</v>
      </c>
      <c r="F18">
        <v>39.6</v>
      </c>
    </row>
    <row r="19" ht="15" customHeight="1" spans="1:6">
      <c r="A19" s="80" t="s">
        <v>85</v>
      </c>
      <c r="B19" s="80" t="s">
        <v>86</v>
      </c>
      <c r="C19" s="80" t="s">
        <v>87</v>
      </c>
      <c r="D19" s="82" t="s">
        <v>43</v>
      </c>
      <c r="E19">
        <v>15.12</v>
      </c>
      <c r="F19">
        <v>26.4</v>
      </c>
    </row>
    <row r="20" ht="15" customHeight="1" spans="1:6">
      <c r="A20" s="80" t="s">
        <v>88</v>
      </c>
      <c r="B20" s="80" t="s">
        <v>89</v>
      </c>
      <c r="C20" s="80" t="s">
        <v>87</v>
      </c>
      <c r="D20" s="82" t="s">
        <v>43</v>
      </c>
      <c r="E20">
        <v>40.32</v>
      </c>
      <c r="F20">
        <v>70.4</v>
      </c>
    </row>
    <row r="21" ht="15" customHeight="1" spans="1:6">
      <c r="A21" s="80" t="s">
        <v>90</v>
      </c>
      <c r="B21" s="84" t="s">
        <v>91</v>
      </c>
      <c r="C21" s="80" t="s">
        <v>75</v>
      </c>
      <c r="D21" s="82" t="s">
        <v>49</v>
      </c>
      <c r="E21">
        <v>100.8</v>
      </c>
      <c r="F21">
        <v>100.8</v>
      </c>
    </row>
    <row r="22" ht="15" customHeight="1" spans="1:6">
      <c r="A22" s="80" t="s">
        <v>92</v>
      </c>
      <c r="B22" s="84"/>
      <c r="C22" s="80" t="s">
        <v>75</v>
      </c>
      <c r="D22" s="82" t="s">
        <v>49</v>
      </c>
    </row>
    <row r="23" ht="15" customHeight="1" spans="1:6">
      <c r="A23" s="80" t="s">
        <v>93</v>
      </c>
      <c r="B23" s="84"/>
      <c r="C23" s="80" t="s">
        <v>75</v>
      </c>
      <c r="D23" s="82" t="s">
        <v>49</v>
      </c>
    </row>
    <row r="24" ht="15" customHeight="1" spans="1:6">
      <c r="A24" s="80" t="s">
        <v>94</v>
      </c>
      <c r="B24" s="84"/>
      <c r="C24" s="80" t="s">
        <v>75</v>
      </c>
      <c r="D24" s="82" t="s">
        <v>49</v>
      </c>
    </row>
    <row r="25" ht="15" customHeight="1" spans="1:6">
      <c r="A25" s="81" t="s">
        <v>95</v>
      </c>
      <c r="B25" s="84"/>
      <c r="C25" s="80" t="s">
        <v>75</v>
      </c>
      <c r="D25" s="82" t="s">
        <v>49</v>
      </c>
    </row>
    <row r="26" ht="15" customHeight="1" spans="1:6">
      <c r="A26" s="81" t="s">
        <v>96</v>
      </c>
      <c r="B26" s="84"/>
      <c r="C26" s="80" t="s">
        <v>75</v>
      </c>
      <c r="D26" s="82" t="s">
        <v>49</v>
      </c>
    </row>
    <row r="27" ht="15" customHeight="1" spans="1:6">
      <c r="A27" s="80" t="s">
        <v>97</v>
      </c>
      <c r="B27" s="84"/>
      <c r="C27" s="80" t="s">
        <v>75</v>
      </c>
      <c r="D27" s="82" t="s">
        <v>49</v>
      </c>
    </row>
    <row r="28" ht="15" customHeight="1" spans="1:6">
      <c r="A28" s="80" t="s">
        <v>98</v>
      </c>
      <c r="B28" s="84"/>
      <c r="C28" s="80" t="s">
        <v>75</v>
      </c>
      <c r="D28" s="82" t="s">
        <v>49</v>
      </c>
    </row>
    <row r="29" ht="15" customHeight="1" spans="1:6">
      <c r="A29" s="80" t="s">
        <v>99</v>
      </c>
      <c r="B29" s="84"/>
      <c r="C29" s="80" t="s">
        <v>75</v>
      </c>
      <c r="D29" s="82" t="s">
        <v>49</v>
      </c>
    </row>
    <row r="30" ht="15" customHeight="1" spans="1:6">
      <c r="A30" s="81" t="s">
        <v>100</v>
      </c>
      <c r="B30" s="84"/>
      <c r="C30" s="80" t="s">
        <v>75</v>
      </c>
      <c r="D30" s="82" t="s">
        <v>49</v>
      </c>
    </row>
    <row r="31" ht="15" customHeight="1" spans="1:6">
      <c r="A31" s="81" t="s">
        <v>101</v>
      </c>
      <c r="B31" s="84"/>
      <c r="C31" s="80" t="s">
        <v>75</v>
      </c>
      <c r="D31" s="82" t="s">
        <v>49</v>
      </c>
    </row>
    <row r="32" ht="15" customHeight="1" spans="1:6">
      <c r="A32" s="80" t="s">
        <v>102</v>
      </c>
      <c r="B32" s="84"/>
      <c r="C32" s="80" t="s">
        <v>75</v>
      </c>
      <c r="D32" s="82" t="s">
        <v>49</v>
      </c>
    </row>
    <row r="33" ht="15" customHeight="1" spans="1:6">
      <c r="A33" s="80" t="s">
        <v>103</v>
      </c>
      <c r="B33" s="84"/>
      <c r="C33" s="80" t="s">
        <v>75</v>
      </c>
      <c r="D33" s="82" t="s">
        <v>49</v>
      </c>
    </row>
    <row r="34" ht="15" customHeight="1" spans="1:6">
      <c r="A34" s="80" t="s">
        <v>104</v>
      </c>
      <c r="B34" s="84"/>
      <c r="C34" s="80" t="s">
        <v>75</v>
      </c>
      <c r="D34" s="82" t="s">
        <v>49</v>
      </c>
    </row>
    <row r="35" ht="15" customHeight="1" spans="1:6">
      <c r="A35" s="80" t="s">
        <v>105</v>
      </c>
      <c r="B35" s="84"/>
      <c r="C35" s="80" t="s">
        <v>75</v>
      </c>
      <c r="D35" s="82" t="s">
        <v>49</v>
      </c>
    </row>
    <row r="36" ht="15" customHeight="1" spans="1:6">
      <c r="A36" s="80" t="s">
        <v>106</v>
      </c>
      <c r="B36" s="84"/>
      <c r="C36" s="80" t="s">
        <v>75</v>
      </c>
      <c r="D36" s="82" t="s">
        <v>49</v>
      </c>
      <c r="E36">
        <v>9.6</v>
      </c>
    </row>
    <row r="37" ht="15" customHeight="1" spans="1:6">
      <c r="A37" s="80" t="s">
        <v>107</v>
      </c>
      <c r="B37" s="80" t="s">
        <v>51</v>
      </c>
      <c r="C37" s="81" t="s">
        <v>108</v>
      </c>
      <c r="D37" s="82" t="s">
        <v>53</v>
      </c>
      <c r="E37">
        <v>24</v>
      </c>
      <c r="F37">
        <v>48</v>
      </c>
    </row>
    <row r="38" ht="15" customHeight="1" spans="1:6">
      <c r="A38" s="80" t="s">
        <v>109</v>
      </c>
      <c r="B38" s="80" t="s">
        <v>55</v>
      </c>
      <c r="C38" s="81" t="s">
        <v>108</v>
      </c>
      <c r="D38" s="82" t="s">
        <v>53</v>
      </c>
      <c r="E38">
        <v>10</v>
      </c>
      <c r="F38">
        <v>20</v>
      </c>
    </row>
    <row r="39" ht="15" customHeight="1" spans="1:6">
      <c r="A39" s="80" t="s">
        <v>110</v>
      </c>
      <c r="B39" s="80" t="s">
        <v>111</v>
      </c>
      <c r="C39" s="81" t="s">
        <v>108</v>
      </c>
      <c r="D39" s="82" t="s">
        <v>53</v>
      </c>
      <c r="E39">
        <v>26</v>
      </c>
      <c r="F39">
        <v>52</v>
      </c>
    </row>
    <row r="40" ht="15" customHeight="1" spans="1:6">
      <c r="A40" s="80" t="s">
        <v>112</v>
      </c>
      <c r="B40" s="80" t="s">
        <v>113</v>
      </c>
      <c r="C40" s="80" t="s">
        <v>114</v>
      </c>
      <c r="D40" s="82" t="s">
        <v>56</v>
      </c>
      <c r="E40">
        <v>16</v>
      </c>
      <c r="F40">
        <v>64</v>
      </c>
    </row>
    <row r="41" ht="15" customHeight="1" spans="1:6">
      <c r="A41" s="80" t="s">
        <v>115</v>
      </c>
      <c r="B41" s="80" t="s">
        <v>116</v>
      </c>
      <c r="C41" s="80" t="s">
        <v>117</v>
      </c>
      <c r="D41" s="82" t="s">
        <v>46</v>
      </c>
      <c r="E41">
        <v>30</v>
      </c>
      <c r="F41">
        <v>100</v>
      </c>
    </row>
    <row r="42" ht="15" customHeight="1" spans="1:6">
      <c r="A42" s="80" t="s">
        <v>118</v>
      </c>
      <c r="B42" s="80" t="s">
        <v>119</v>
      </c>
      <c r="C42" s="80" t="s">
        <v>120</v>
      </c>
      <c r="D42" s="82" t="s">
        <v>46</v>
      </c>
      <c r="E42">
        <v>150</v>
      </c>
      <c r="F42">
        <v>300</v>
      </c>
    </row>
    <row r="43" ht="15" customHeight="1" spans="1:6">
      <c r="A43" s="80" t="s">
        <v>121</v>
      </c>
      <c r="B43" s="80" t="s">
        <v>119</v>
      </c>
      <c r="C43" s="80"/>
      <c r="D43" s="82" t="s">
        <v>46</v>
      </c>
      <c r="E43">
        <v>150</v>
      </c>
      <c r="F43">
        <v>300</v>
      </c>
    </row>
    <row r="44" ht="15" customHeight="1" spans="1:6">
      <c r="A44" s="80" t="s">
        <v>122</v>
      </c>
      <c r="B44" s="80" t="s">
        <v>123</v>
      </c>
      <c r="C44" s="80" t="s">
        <v>124</v>
      </c>
      <c r="D44" s="82" t="s">
        <v>62</v>
      </c>
      <c r="E44">
        <v>6</v>
      </c>
      <c r="F44">
        <v>8.4</v>
      </c>
    </row>
    <row r="45" ht="15" customHeight="1" spans="1:6">
      <c r="A45" s="80" t="s">
        <v>125</v>
      </c>
      <c r="B45" s="80" t="s">
        <v>126</v>
      </c>
      <c r="C45" s="80" t="s">
        <v>124</v>
      </c>
      <c r="D45" s="82" t="s">
        <v>62</v>
      </c>
      <c r="E45">
        <v>4</v>
      </c>
      <c r="F45">
        <v>12.8</v>
      </c>
    </row>
    <row r="46" ht="15" customHeight="1" spans="1:6">
      <c r="A46" s="80" t="s">
        <v>127</v>
      </c>
      <c r="B46" s="80" t="s">
        <v>45</v>
      </c>
      <c r="C46" s="80" t="s">
        <v>124</v>
      </c>
      <c r="D46" s="82" t="s">
        <v>62</v>
      </c>
      <c r="E46">
        <v>12</v>
      </c>
      <c r="F46">
        <v>24</v>
      </c>
    </row>
    <row r="47" ht="15" customHeight="1" spans="1:6">
      <c r="A47" s="80" t="s">
        <v>128</v>
      </c>
      <c r="B47" s="80" t="s">
        <v>129</v>
      </c>
      <c r="C47" s="81" t="s">
        <v>130</v>
      </c>
      <c r="D47" s="82" t="s">
        <v>62</v>
      </c>
      <c r="E47">
        <v>0.3</v>
      </c>
      <c r="F47">
        <v>0.45</v>
      </c>
    </row>
    <row r="48" ht="15" customHeight="1" spans="1:6">
      <c r="A48" s="81" t="s">
        <v>131</v>
      </c>
      <c r="B48" s="80" t="s">
        <v>132</v>
      </c>
      <c r="C48" s="80"/>
      <c r="D48" s="82" t="s">
        <v>62</v>
      </c>
      <c r="E48">
        <v>0.2</v>
      </c>
      <c r="F48">
        <v>0.04422</v>
      </c>
    </row>
    <row r="49" ht="15" customHeight="1" spans="1:6">
      <c r="A49" s="80" t="s">
        <v>133</v>
      </c>
      <c r="B49" s="80" t="s">
        <v>41</v>
      </c>
      <c r="C49" s="81" t="s">
        <v>134</v>
      </c>
      <c r="D49" s="82" t="s">
        <v>64</v>
      </c>
      <c r="E49">
        <v>5</v>
      </c>
      <c r="F49">
        <v>10</v>
      </c>
    </row>
    <row r="50" ht="15" customHeight="1" spans="1:6">
      <c r="A50" s="80" t="s">
        <v>135</v>
      </c>
      <c r="B50" s="80" t="s">
        <v>136</v>
      </c>
      <c r="C50" s="81" t="s">
        <v>134</v>
      </c>
      <c r="D50" s="82" t="s">
        <v>64</v>
      </c>
      <c r="E50">
        <v>14</v>
      </c>
      <c r="F50">
        <v>14</v>
      </c>
    </row>
    <row r="51" ht="15" customHeight="1" spans="1:6">
      <c r="A51" s="80" t="s">
        <v>137</v>
      </c>
      <c r="B51" s="80" t="s">
        <v>138</v>
      </c>
      <c r="C51" s="80" t="s">
        <v>139</v>
      </c>
      <c r="D51" s="82" t="s">
        <v>56</v>
      </c>
      <c r="E51">
        <v>32</v>
      </c>
      <c r="F51">
        <v>64</v>
      </c>
    </row>
    <row r="52" ht="15" customHeight="1" spans="1:6">
      <c r="A52" s="81" t="s">
        <v>140</v>
      </c>
      <c r="B52" s="80" t="s">
        <v>141</v>
      </c>
      <c r="C52" s="80" t="s">
        <v>75</v>
      </c>
      <c r="D52" s="82" t="s">
        <v>67</v>
      </c>
      <c r="E52">
        <v>10</v>
      </c>
      <c r="F52">
        <v>10</v>
      </c>
    </row>
    <row r="53" ht="15" customHeight="1" spans="1:6">
      <c r="A53" s="81" t="s">
        <v>142</v>
      </c>
      <c r="B53" s="80" t="s">
        <v>143</v>
      </c>
      <c r="C53" s="81" t="s">
        <v>144</v>
      </c>
      <c r="D53" s="82" t="s">
        <v>70</v>
      </c>
      <c r="E53">
        <v>2</v>
      </c>
      <c r="F53">
        <v>4</v>
      </c>
    </row>
    <row r="54" ht="15" customHeight="1" spans="1:6">
      <c r="A54" s="81" t="s">
        <v>145</v>
      </c>
      <c r="B54" s="80" t="s">
        <v>55</v>
      </c>
      <c r="C54" s="80"/>
      <c r="D54" s="82" t="s">
        <v>59</v>
      </c>
      <c r="E54">
        <v>10</v>
      </c>
      <c r="F54">
        <v>20</v>
      </c>
    </row>
    <row r="55" ht="15" customHeight="1" spans="1:6">
      <c r="A55" s="80" t="s">
        <v>146</v>
      </c>
      <c r="B55" s="80" t="s">
        <v>66</v>
      </c>
      <c r="C55" s="80"/>
      <c r="D55" s="82" t="s">
        <v>59</v>
      </c>
      <c r="E55">
        <v>8</v>
      </c>
      <c r="F55">
        <v>16</v>
      </c>
    </row>
    <row r="56" ht="15" customHeight="1" spans="1:6">
      <c r="A56" s="80" t="s">
        <v>147</v>
      </c>
      <c r="B56" s="80" t="s">
        <v>148</v>
      </c>
      <c r="C56" s="80"/>
      <c r="D56" s="82" t="s">
        <v>59</v>
      </c>
      <c r="E56">
        <v>4</v>
      </c>
      <c r="F56">
        <v>4</v>
      </c>
    </row>
    <row r="57" ht="15" customHeight="1" spans="1:6">
      <c r="A57" s="81" t="s">
        <v>149</v>
      </c>
      <c r="B57" s="80" t="s">
        <v>41</v>
      </c>
      <c r="C57" s="80" t="s">
        <v>150</v>
      </c>
      <c r="D57" s="82" t="s">
        <v>59</v>
      </c>
      <c r="E57">
        <v>5</v>
      </c>
      <c r="F57">
        <v>10</v>
      </c>
    </row>
    <row r="58" ht="15" customHeight="1" spans="1:6">
      <c r="A58" s="81" t="s">
        <v>151</v>
      </c>
      <c r="B58" s="80" t="s">
        <v>152</v>
      </c>
      <c r="C58" s="80" t="s">
        <v>153</v>
      </c>
      <c r="D58" s="82" t="s">
        <v>59</v>
      </c>
      <c r="E58">
        <v>0.187</v>
      </c>
      <c r="F58">
        <v>1.87</v>
      </c>
    </row>
  </sheetData>
  <mergeCells count="3">
    <mergeCell ref="B14:B15"/>
    <mergeCell ref="B21:B36"/>
    <mergeCell ref="C42:C43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3"/>
  <sheetViews>
    <sheetView workbookViewId="0">
      <selection activeCell="K13" sqref="K13"/>
    </sheetView>
  </sheetViews>
  <sheetFormatPr defaultColWidth="9" defaultRowHeight="13.85"/>
  <cols>
    <col min="1" max="1" width="15.1238938053097" customWidth="1"/>
    <col min="2" max="2" width="13.6283185840708" customWidth="1"/>
    <col min="3" max="14" width="9.6283185840708" customWidth="1"/>
    <col min="15" max="15" width="16.2477876106195" customWidth="1"/>
    <col min="16" max="19" width="12" style="6" customWidth="1"/>
  </cols>
  <sheetData>
    <row r="1" s="40" customFormat="1" ht="14.6" spans="1:19">
      <c r="A1" s="40" t="s">
        <v>154</v>
      </c>
      <c r="P1" s="41"/>
      <c r="Q1" s="41"/>
      <c r="R1" s="41"/>
      <c r="S1" s="41"/>
    </row>
    <row r="2" ht="14.6" spans="1:19">
      <c r="A2" s="42"/>
      <c r="B2" s="43"/>
      <c r="C2" s="44">
        <v>2019</v>
      </c>
      <c r="D2" s="45">
        <v>2020</v>
      </c>
      <c r="E2" s="45" t="s">
        <v>155</v>
      </c>
      <c r="F2" s="45">
        <v>2022</v>
      </c>
      <c r="G2" s="45" t="s">
        <v>156</v>
      </c>
      <c r="H2" s="46">
        <v>2023</v>
      </c>
      <c r="I2" s="47">
        <v>2024</v>
      </c>
    </row>
    <row r="3" spans="1:19">
      <c r="A3" s="48" t="s">
        <v>157</v>
      </c>
      <c r="B3" s="49" t="s">
        <v>158</v>
      </c>
      <c r="C3" s="50"/>
      <c r="D3" s="51"/>
      <c r="E3" s="52">
        <f>F3-F28</f>
        <v>578</v>
      </c>
      <c r="F3" s="51">
        <v>772</v>
      </c>
      <c r="G3" s="51">
        <v>1024</v>
      </c>
      <c r="H3" s="53">
        <v>1375</v>
      </c>
      <c r="I3" s="54"/>
    </row>
    <row r="4" spans="1:19">
      <c r="A4" s="55"/>
      <c r="B4" s="56" t="s">
        <v>159</v>
      </c>
      <c r="C4" s="57"/>
      <c r="D4" s="58"/>
      <c r="E4" s="59">
        <f>F4-F29</f>
        <v>14.91</v>
      </c>
      <c r="F4" s="58">
        <v>18.59</v>
      </c>
      <c r="G4" s="58">
        <v>27.22</v>
      </c>
      <c r="H4" s="60">
        <v>45.43</v>
      </c>
      <c r="I4" s="61"/>
    </row>
    <row r="5" spans="1:19">
      <c r="A5" s="55"/>
      <c r="B5" s="56" t="s">
        <v>160</v>
      </c>
      <c r="C5" s="57"/>
      <c r="D5" s="58"/>
      <c r="E5" s="59">
        <f>F5-F30</f>
        <v>35.22</v>
      </c>
      <c r="F5" s="58">
        <v>43.08</v>
      </c>
      <c r="G5" s="58">
        <v>59.26</v>
      </c>
      <c r="H5" s="60">
        <v>92.61</v>
      </c>
      <c r="I5" s="61"/>
    </row>
    <row r="6" spans="1:19">
      <c r="A6" s="55"/>
      <c r="B6" s="56" t="s">
        <v>161</v>
      </c>
      <c r="C6" s="57"/>
      <c r="D6" s="58"/>
      <c r="E6" s="59">
        <f>E4/E3*1000</f>
        <v>25.7958477508651</v>
      </c>
      <c r="F6" s="58">
        <f t="shared" ref="F6:G6" si="0">F4/F3*1000</f>
        <v>24.080310880829</v>
      </c>
      <c r="G6" s="58">
        <f t="shared" si="0"/>
        <v>26.58203125</v>
      </c>
      <c r="H6" s="58">
        <f t="shared" ref="H6" si="1">H4/H3*1000</f>
        <v>33.04</v>
      </c>
      <c r="I6" s="61"/>
    </row>
    <row r="7" ht="14.6" spans="1:19">
      <c r="A7" s="62"/>
      <c r="B7" s="63" t="s">
        <v>162</v>
      </c>
      <c r="C7" s="64"/>
      <c r="D7" s="65"/>
      <c r="E7" s="66">
        <f>E5/E4</f>
        <v>2.36217303822938</v>
      </c>
      <c r="F7" s="67">
        <f t="shared" ref="F7:G7" si="2">F5/F4</f>
        <v>2.31737493275955</v>
      </c>
      <c r="G7" s="67">
        <f t="shared" si="2"/>
        <v>2.17707567964732</v>
      </c>
      <c r="H7" s="67">
        <f t="shared" ref="H7" si="3">H5/H4</f>
        <v>2.03852080123267</v>
      </c>
      <c r="I7" s="68"/>
    </row>
    <row r="8" spans="1:19">
      <c r="A8" s="48" t="s">
        <v>163</v>
      </c>
      <c r="B8" s="49" t="s">
        <v>158</v>
      </c>
      <c r="C8" s="50"/>
      <c r="D8" s="51"/>
      <c r="E8" s="51"/>
      <c r="F8" s="51">
        <v>405</v>
      </c>
      <c r="G8" s="51">
        <v>604</v>
      </c>
      <c r="H8" s="53">
        <v>863</v>
      </c>
      <c r="I8" s="54"/>
    </row>
    <row r="9" spans="1:19">
      <c r="A9" s="55"/>
      <c r="B9" s="56" t="s">
        <v>159</v>
      </c>
      <c r="C9" s="57"/>
      <c r="D9" s="58"/>
      <c r="E9" s="58"/>
      <c r="F9" s="58">
        <v>6.44</v>
      </c>
      <c r="G9" s="58">
        <v>13.76</v>
      </c>
      <c r="H9" s="60">
        <v>24.35</v>
      </c>
      <c r="I9" s="61"/>
    </row>
    <row r="10" spans="1:19">
      <c r="A10" s="55"/>
      <c r="B10" s="56" t="s">
        <v>160</v>
      </c>
      <c r="C10" s="57"/>
      <c r="D10" s="58"/>
      <c r="E10" s="58"/>
      <c r="F10" s="58">
        <v>13.19</v>
      </c>
      <c r="G10" s="58">
        <v>27.64</v>
      </c>
      <c r="H10" s="60">
        <v>49.62</v>
      </c>
      <c r="I10" s="61"/>
    </row>
    <row r="11" spans="1:19">
      <c r="A11" s="55"/>
      <c r="B11" s="56" t="s">
        <v>161</v>
      </c>
      <c r="C11" s="57"/>
      <c r="D11" s="58"/>
      <c r="E11" s="58"/>
      <c r="F11" s="58">
        <f t="shared" ref="F11:G11" si="4">F9/F8*1000</f>
        <v>15.9012345679012</v>
      </c>
      <c r="G11" s="58">
        <f t="shared" si="4"/>
        <v>22.7814569536424</v>
      </c>
      <c r="H11" s="58">
        <f t="shared" ref="H11" si="5">H9/H8*1000</f>
        <v>28.215527230591</v>
      </c>
      <c r="I11" s="61"/>
    </row>
    <row r="12" ht="14.6" spans="1:19">
      <c r="A12" s="62"/>
      <c r="B12" s="63" t="s">
        <v>162</v>
      </c>
      <c r="C12" s="64"/>
      <c r="D12" s="65"/>
      <c r="E12" s="65"/>
      <c r="F12" s="67">
        <f t="shared" ref="F12:G12" si="6">F10/F9</f>
        <v>2.04813664596273</v>
      </c>
      <c r="G12" s="67">
        <f t="shared" si="6"/>
        <v>2.00872093023256</v>
      </c>
      <c r="H12" s="67">
        <f t="shared" ref="H12" si="7">H10/H9</f>
        <v>2.03778234086242</v>
      </c>
      <c r="I12" s="68"/>
    </row>
    <row r="13" spans="1:19">
      <c r="A13" s="48" t="s">
        <v>164</v>
      </c>
      <c r="B13" s="49" t="s">
        <v>158</v>
      </c>
      <c r="C13" s="50"/>
      <c r="D13" s="51"/>
      <c r="E13" s="51"/>
      <c r="F13" s="51">
        <v>67</v>
      </c>
      <c r="G13" s="51">
        <v>95</v>
      </c>
      <c r="H13" s="53">
        <v>95</v>
      </c>
      <c r="I13" s="54"/>
    </row>
    <row r="14" spans="1:19">
      <c r="A14" s="55"/>
      <c r="B14" s="56" t="s">
        <v>159</v>
      </c>
      <c r="C14" s="57"/>
      <c r="D14" s="58"/>
      <c r="E14" s="58"/>
      <c r="F14" s="58">
        <v>0.45</v>
      </c>
      <c r="G14" s="58">
        <v>0.54</v>
      </c>
      <c r="H14" s="60">
        <v>0.65</v>
      </c>
      <c r="I14" s="61"/>
    </row>
    <row r="15" spans="1:19">
      <c r="A15" s="55"/>
      <c r="B15" s="56" t="s">
        <v>160</v>
      </c>
      <c r="C15" s="57"/>
      <c r="D15" s="58"/>
      <c r="E15" s="58"/>
      <c r="F15" s="58">
        <v>0.86</v>
      </c>
      <c r="G15" s="58">
        <v>1.13</v>
      </c>
      <c r="H15" s="60">
        <v>1.25</v>
      </c>
      <c r="I15" s="61"/>
    </row>
    <row r="16" spans="1:19">
      <c r="A16" s="55"/>
      <c r="B16" s="56" t="s">
        <v>161</v>
      </c>
      <c r="C16" s="57"/>
      <c r="D16" s="58"/>
      <c r="E16" s="58"/>
      <c r="F16" s="58">
        <f t="shared" ref="F16:G16" si="8">F14/F13*1000</f>
        <v>6.71641791044776</v>
      </c>
      <c r="G16" s="58">
        <f t="shared" si="8"/>
        <v>5.68421052631579</v>
      </c>
      <c r="H16" s="58">
        <f t="shared" ref="H16" si="9">H14/H13*1000</f>
        <v>6.84210526315789</v>
      </c>
      <c r="I16" s="61"/>
    </row>
    <row r="17" ht="14.6" spans="1:12">
      <c r="A17" s="62"/>
      <c r="B17" s="63" t="s">
        <v>162</v>
      </c>
      <c r="C17" s="64"/>
      <c r="D17" s="65"/>
      <c r="E17" s="65"/>
      <c r="F17" s="67">
        <f t="shared" ref="F17:G17" si="10">F15/F14</f>
        <v>1.91111111111111</v>
      </c>
      <c r="G17" s="67">
        <f t="shared" si="10"/>
        <v>2.09259259259259</v>
      </c>
      <c r="H17" s="67">
        <f t="shared" ref="H17" si="11">H15/H14</f>
        <v>1.92307692307692</v>
      </c>
      <c r="I17" s="68"/>
    </row>
    <row r="18" spans="1:12">
      <c r="A18" s="69" t="s">
        <v>165</v>
      </c>
      <c r="B18" s="49" t="s">
        <v>158</v>
      </c>
      <c r="C18" s="50"/>
      <c r="D18" s="51"/>
      <c r="E18" s="51"/>
      <c r="F18" s="51">
        <f>F8+F13</f>
        <v>472</v>
      </c>
      <c r="G18" s="51">
        <f>G8+G13</f>
        <v>699</v>
      </c>
      <c r="H18" s="70">
        <f>F18+H28</f>
        <v>958</v>
      </c>
      <c r="I18" s="54"/>
    </row>
    <row r="19" spans="1:12">
      <c r="A19" s="71"/>
      <c r="B19" s="56" t="s">
        <v>159</v>
      </c>
      <c r="C19" s="57"/>
      <c r="D19" s="58"/>
      <c r="E19" s="58"/>
      <c r="F19" s="58">
        <f t="shared" ref="F19:G19" si="12">F9+F14</f>
        <v>6.89</v>
      </c>
      <c r="G19" s="58">
        <f t="shared" si="12"/>
        <v>14.3</v>
      </c>
      <c r="H19" s="72">
        <f>F19+H29</f>
        <v>25</v>
      </c>
      <c r="I19" s="61"/>
    </row>
    <row r="20" spans="1:12">
      <c r="A20" s="71"/>
      <c r="B20" s="56" t="s">
        <v>160</v>
      </c>
      <c r="C20" s="57">
        <v>1.415</v>
      </c>
      <c r="D20" s="58">
        <v>3.349</v>
      </c>
      <c r="E20" s="58">
        <v>6.197</v>
      </c>
      <c r="F20" s="58">
        <f t="shared" ref="F20:G20" si="13">F10+F15</f>
        <v>14.05</v>
      </c>
      <c r="G20" s="58">
        <f t="shared" si="13"/>
        <v>28.77</v>
      </c>
      <c r="H20" s="72">
        <f>F20+H30</f>
        <v>50.86</v>
      </c>
      <c r="I20" s="61"/>
    </row>
    <row r="21" spans="1:12">
      <c r="A21" s="71"/>
      <c r="B21" s="56" t="s">
        <v>161</v>
      </c>
      <c r="C21" s="57"/>
      <c r="D21" s="58"/>
      <c r="E21" s="58"/>
      <c r="F21" s="58">
        <f t="shared" ref="F21:G21" si="14">F19/F18*1000</f>
        <v>14.5974576271186</v>
      </c>
      <c r="G21" s="58">
        <f t="shared" si="14"/>
        <v>20.4577968526466</v>
      </c>
      <c r="H21" s="59">
        <f t="shared" ref="H21" si="15">H19/H18*1000</f>
        <v>26.0960334029228</v>
      </c>
      <c r="I21" s="61"/>
    </row>
    <row r="22" ht="14.6" spans="1:12">
      <c r="A22" s="73"/>
      <c r="B22" s="63" t="s">
        <v>162</v>
      </c>
      <c r="C22" s="64"/>
      <c r="D22" s="65"/>
      <c r="E22" s="65"/>
      <c r="F22" s="67">
        <f t="shared" ref="F22:G22" si="16">F20/F19</f>
        <v>2.03918722786647</v>
      </c>
      <c r="G22" s="67">
        <f t="shared" si="16"/>
        <v>2.01188811188811</v>
      </c>
      <c r="H22" s="66">
        <f t="shared" ref="H22" si="17">H20/H19</f>
        <v>2.0344</v>
      </c>
      <c r="I22" s="68"/>
    </row>
    <row r="23" spans="1:12">
      <c r="A23" s="48" t="s">
        <v>166</v>
      </c>
      <c r="B23" s="49" t="s">
        <v>158</v>
      </c>
      <c r="C23" s="50"/>
      <c r="D23" s="51"/>
      <c r="E23" s="51"/>
      <c r="F23" s="51">
        <v>300</v>
      </c>
      <c r="G23" s="51">
        <v>325</v>
      </c>
      <c r="H23" s="53">
        <v>417</v>
      </c>
      <c r="I23" s="54"/>
    </row>
    <row r="24" spans="1:12">
      <c r="A24" s="55"/>
      <c r="B24" s="56" t="s">
        <v>159</v>
      </c>
      <c r="C24" s="57"/>
      <c r="D24" s="58"/>
      <c r="E24" s="58"/>
      <c r="F24" s="58">
        <v>11.7</v>
      </c>
      <c r="G24" s="58">
        <v>12.92</v>
      </c>
      <c r="H24" s="60">
        <v>20.43</v>
      </c>
      <c r="I24" s="61"/>
    </row>
    <row r="25" spans="1:12">
      <c r="A25" s="55"/>
      <c r="B25" s="56" t="s">
        <v>160</v>
      </c>
      <c r="C25" s="57"/>
      <c r="D25" s="58"/>
      <c r="E25" s="58"/>
      <c r="F25" s="58">
        <v>29.03</v>
      </c>
      <c r="G25" s="58">
        <v>30.49</v>
      </c>
      <c r="H25" s="60">
        <v>41.7</v>
      </c>
      <c r="I25" s="61"/>
      <c r="L25" t="s">
        <v>167</v>
      </c>
    </row>
    <row r="26" spans="1:12">
      <c r="A26" s="55"/>
      <c r="B26" s="56" t="s">
        <v>161</v>
      </c>
      <c r="C26" s="57"/>
      <c r="D26" s="58"/>
      <c r="E26" s="58"/>
      <c r="F26" s="58">
        <f t="shared" ref="F26:G26" si="18">F24/F23*1000</f>
        <v>39</v>
      </c>
      <c r="G26" s="58">
        <f t="shared" si="18"/>
        <v>39.7538461538462</v>
      </c>
      <c r="H26" s="58">
        <f t="shared" ref="H26" si="19">H24/H23*1000</f>
        <v>48.9928057553957</v>
      </c>
      <c r="I26" s="61"/>
    </row>
    <row r="27" ht="14.6" spans="1:12">
      <c r="A27" s="62"/>
      <c r="B27" s="63" t="s">
        <v>162</v>
      </c>
      <c r="C27" s="64"/>
      <c r="D27" s="65"/>
      <c r="E27" s="65"/>
      <c r="F27" s="67">
        <f t="shared" ref="F27:G27" si="20">F25/F24</f>
        <v>2.48119658119658</v>
      </c>
      <c r="G27" s="67">
        <f t="shared" si="20"/>
        <v>2.35990712074303</v>
      </c>
      <c r="H27" s="67">
        <f t="shared" ref="H27" si="21">H25/H24</f>
        <v>2.04111600587372</v>
      </c>
      <c r="I27" s="68"/>
    </row>
    <row r="28" spans="1:12">
      <c r="A28" s="48" t="s">
        <v>168</v>
      </c>
      <c r="B28" s="49" t="s">
        <v>158</v>
      </c>
      <c r="C28" s="50"/>
      <c r="D28" s="51"/>
      <c r="E28" s="51"/>
      <c r="F28" s="51">
        <v>194</v>
      </c>
      <c r="G28" s="51">
        <v>227</v>
      </c>
      <c r="H28" s="53">
        <v>486</v>
      </c>
      <c r="I28" s="54"/>
    </row>
    <row r="29" spans="1:12">
      <c r="A29" s="55"/>
      <c r="B29" s="56" t="s">
        <v>159</v>
      </c>
      <c r="C29" s="57"/>
      <c r="D29" s="58"/>
      <c r="E29" s="58"/>
      <c r="F29" s="58">
        <v>3.68</v>
      </c>
      <c r="G29" s="58">
        <v>7.41</v>
      </c>
      <c r="H29" s="60">
        <v>18.11</v>
      </c>
      <c r="I29" s="61"/>
    </row>
    <row r="30" spans="1:12">
      <c r="A30" s="55"/>
      <c r="B30" s="56" t="s">
        <v>160</v>
      </c>
      <c r="C30" s="57">
        <v>0.557</v>
      </c>
      <c r="D30" s="58">
        <v>1.934</v>
      </c>
      <c r="E30" s="58">
        <v>2.848</v>
      </c>
      <c r="F30" s="58">
        <v>7.86</v>
      </c>
      <c r="G30" s="58">
        <v>14.71</v>
      </c>
      <c r="H30" s="60">
        <v>36.81</v>
      </c>
      <c r="I30" s="61"/>
    </row>
    <row r="31" spans="1:12">
      <c r="A31" s="55"/>
      <c r="B31" s="56" t="s">
        <v>161</v>
      </c>
      <c r="C31" s="57"/>
      <c r="D31" s="58"/>
      <c r="E31" s="58"/>
      <c r="F31" s="58">
        <f t="shared" ref="F31:G31" si="22">F29/F28*1000</f>
        <v>18.9690721649485</v>
      </c>
      <c r="G31" s="58">
        <f t="shared" si="22"/>
        <v>32.6431718061674</v>
      </c>
      <c r="H31" s="58">
        <f t="shared" ref="H31" si="23">H29/H28*1000</f>
        <v>37.2633744855967</v>
      </c>
      <c r="I31" s="61"/>
    </row>
    <row r="32" ht="14.6" spans="1:12">
      <c r="A32" s="62"/>
      <c r="B32" s="63" t="s">
        <v>162</v>
      </c>
      <c r="C32" s="64"/>
      <c r="D32" s="65"/>
      <c r="E32" s="65"/>
      <c r="F32" s="67">
        <f t="shared" ref="F32:G32" si="24">F30/F29</f>
        <v>2.13586956521739</v>
      </c>
      <c r="G32" s="67">
        <f t="shared" si="24"/>
        <v>1.98515519568151</v>
      </c>
      <c r="H32" s="67">
        <f t="shared" ref="H32" si="25">H30/H29</f>
        <v>2.03257868580895</v>
      </c>
      <c r="I32" s="68"/>
    </row>
    <row r="34" spans="1:19">
      <c r="A34" s="74" t="s">
        <v>169</v>
      </c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</row>
    <row r="35" spans="1:19">
      <c r="A35" s="74" t="s">
        <v>170</v>
      </c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5" t="s">
        <v>171</v>
      </c>
      <c r="P35" s="76" t="s">
        <v>172</v>
      </c>
      <c r="Q35" s="76" t="s">
        <v>173</v>
      </c>
      <c r="R35" s="76" t="s">
        <v>174</v>
      </c>
      <c r="S35" s="76" t="s">
        <v>175</v>
      </c>
    </row>
    <row r="36" spans="1:19">
      <c r="A36" t="s">
        <v>176</v>
      </c>
      <c r="B36" s="6">
        <v>1485.42</v>
      </c>
      <c r="C36" s="6">
        <v>735.15</v>
      </c>
      <c r="D36" s="74"/>
      <c r="E36" s="74"/>
      <c r="F36" s="74"/>
      <c r="G36" s="6" t="s">
        <v>177</v>
      </c>
      <c r="H36" s="6">
        <v>2385.87</v>
      </c>
      <c r="I36" s="6">
        <v>4408.96</v>
      </c>
      <c r="J36" s="74"/>
      <c r="K36" s="74"/>
      <c r="L36" s="74"/>
      <c r="M36" s="74"/>
      <c r="N36" s="74"/>
      <c r="O36" s="76" t="s">
        <v>176</v>
      </c>
      <c r="P36" s="77">
        <f t="shared" ref="P36:P52" si="26">IFERROR(VLOOKUP(O36,$A$36:$B$45,2,FALSE),"")</f>
        <v>1485.42</v>
      </c>
      <c r="Q36" s="77">
        <f t="shared" ref="Q36:Q52" si="27">IFERROR(VLOOKUP(O36,$A$55:$B$64,2,FALSE),"")</f>
        <v>1501.82</v>
      </c>
      <c r="R36" s="77">
        <f>IFERROR(VLOOKUP(O36,$G$36:$H$45,2,FALSE),"")</f>
        <v>2000.9</v>
      </c>
      <c r="S36" s="77">
        <f t="shared" ref="S36:S52" si="28">IFERROR(VLOOKUP(O36,$G$55:$H$64,2,FALSE),"")</f>
        <v>2744.05</v>
      </c>
    </row>
    <row r="37" spans="1:19">
      <c r="A37" t="s">
        <v>178</v>
      </c>
      <c r="B37" s="6">
        <v>1286.4</v>
      </c>
      <c r="C37" s="6">
        <v>647.7</v>
      </c>
      <c r="D37" s="74"/>
      <c r="E37" s="74"/>
      <c r="F37" s="74"/>
      <c r="G37" s="6" t="s">
        <v>179</v>
      </c>
      <c r="H37" s="6">
        <v>2002.4</v>
      </c>
      <c r="I37" s="6">
        <v>4105.1</v>
      </c>
      <c r="J37" s="74"/>
      <c r="K37" s="74"/>
      <c r="L37" s="74"/>
      <c r="M37" s="74"/>
      <c r="N37" s="74"/>
      <c r="O37" s="76" t="s">
        <v>178</v>
      </c>
      <c r="P37" s="77">
        <f t="shared" si="26"/>
        <v>1286.4</v>
      </c>
      <c r="Q37" s="77">
        <f t="shared" si="27"/>
        <v>2689.1</v>
      </c>
      <c r="R37" s="77">
        <f t="shared" ref="R36:R52" si="29">IFERROR(VLOOKUP(O37,$G$36:$H$45,2,FALSE),"")</f>
        <v>1751.28</v>
      </c>
      <c r="S37" s="77">
        <f t="shared" si="28"/>
        <v>3115.38</v>
      </c>
    </row>
    <row r="38" spans="1:19">
      <c r="A38" t="s">
        <v>177</v>
      </c>
      <c r="B38" s="6">
        <v>736.12</v>
      </c>
      <c r="C38" s="6">
        <v>316.5</v>
      </c>
      <c r="D38" s="74"/>
      <c r="E38" s="74"/>
      <c r="F38" s="74"/>
      <c r="G38" s="6" t="s">
        <v>176</v>
      </c>
      <c r="H38" s="6">
        <v>2000.9</v>
      </c>
      <c r="I38" s="6">
        <v>3887.05</v>
      </c>
      <c r="J38" s="74"/>
      <c r="K38" s="74"/>
      <c r="L38" s="74"/>
      <c r="M38" s="74"/>
      <c r="N38" s="74"/>
      <c r="O38" s="76" t="s">
        <v>177</v>
      </c>
      <c r="P38" s="77">
        <f t="shared" si="26"/>
        <v>736.12</v>
      </c>
      <c r="Q38" s="77">
        <f t="shared" si="27"/>
        <v>782.78</v>
      </c>
      <c r="R38" s="77">
        <f t="shared" si="29"/>
        <v>2385.87</v>
      </c>
      <c r="S38" s="77">
        <f t="shared" si="28"/>
        <v>2754.37</v>
      </c>
    </row>
    <row r="39" spans="1:19">
      <c r="A39" t="s">
        <v>180</v>
      </c>
      <c r="B39" s="6">
        <v>615.41</v>
      </c>
      <c r="C39" s="6">
        <v>216.15</v>
      </c>
      <c r="D39" s="74"/>
      <c r="E39" s="74"/>
      <c r="F39" s="74"/>
      <c r="G39" s="6" t="s">
        <v>181</v>
      </c>
      <c r="H39" s="6">
        <v>1924</v>
      </c>
      <c r="I39" s="6">
        <v>3821</v>
      </c>
      <c r="J39" s="74"/>
      <c r="K39" s="74"/>
      <c r="L39" s="74"/>
      <c r="M39" s="74"/>
      <c r="N39" s="74"/>
      <c r="O39" s="76" t="s">
        <v>180</v>
      </c>
      <c r="P39" s="77">
        <f t="shared" si="26"/>
        <v>615.41</v>
      </c>
      <c r="Q39" s="77">
        <f t="shared" si="27"/>
        <v>774.82</v>
      </c>
      <c r="R39" s="77" t="str">
        <f t="shared" si="29"/>
        <v/>
      </c>
      <c r="S39" s="77" t="str">
        <f t="shared" si="28"/>
        <v/>
      </c>
    </row>
    <row r="40" spans="1:19">
      <c r="A40" t="s">
        <v>182</v>
      </c>
      <c r="B40" s="6">
        <v>540</v>
      </c>
      <c r="C40" s="6">
        <v>265</v>
      </c>
      <c r="D40" s="74"/>
      <c r="E40" s="74"/>
      <c r="F40" s="74"/>
      <c r="G40" s="6" t="s">
        <v>178</v>
      </c>
      <c r="H40" s="6">
        <v>1751.28</v>
      </c>
      <c r="I40" s="6">
        <v>3507.86</v>
      </c>
      <c r="J40" s="74"/>
      <c r="K40" s="74"/>
      <c r="L40" s="74"/>
      <c r="M40" s="74"/>
      <c r="N40" s="74"/>
      <c r="O40" s="76" t="s">
        <v>182</v>
      </c>
      <c r="P40" s="77">
        <f t="shared" si="26"/>
        <v>540</v>
      </c>
      <c r="Q40" s="77">
        <f t="shared" si="27"/>
        <v>625</v>
      </c>
      <c r="R40" s="77">
        <f t="shared" si="29"/>
        <v>1565</v>
      </c>
      <c r="S40" s="77">
        <f t="shared" si="28"/>
        <v>1876</v>
      </c>
    </row>
    <row r="41" spans="1:19">
      <c r="A41" t="s">
        <v>183</v>
      </c>
      <c r="B41" s="6">
        <v>447</v>
      </c>
      <c r="C41" s="6">
        <v>117.5</v>
      </c>
      <c r="D41" s="74"/>
      <c r="E41" s="74"/>
      <c r="F41" s="74"/>
      <c r="G41" s="6" t="s">
        <v>182</v>
      </c>
      <c r="H41" s="6">
        <v>1565</v>
      </c>
      <c r="I41" s="6">
        <v>4140</v>
      </c>
      <c r="J41" s="74"/>
      <c r="K41" s="74"/>
      <c r="L41" s="74"/>
      <c r="M41" s="74"/>
      <c r="N41" s="74"/>
      <c r="O41" s="76" t="s">
        <v>183</v>
      </c>
      <c r="P41" s="77">
        <f t="shared" si="26"/>
        <v>447</v>
      </c>
      <c r="Q41" s="77" t="str">
        <f t="shared" si="27"/>
        <v/>
      </c>
      <c r="R41" s="77" t="str">
        <f t="shared" si="29"/>
        <v/>
      </c>
      <c r="S41" s="77" t="str">
        <f t="shared" si="28"/>
        <v/>
      </c>
    </row>
    <row r="42" spans="1:19">
      <c r="A42" t="s">
        <v>179</v>
      </c>
      <c r="B42" s="6">
        <v>445</v>
      </c>
      <c r="C42" s="6">
        <v>221</v>
      </c>
      <c r="D42" s="74"/>
      <c r="E42" s="74"/>
      <c r="F42" s="74"/>
      <c r="G42" s="6" t="s">
        <v>184</v>
      </c>
      <c r="H42" s="6">
        <v>1235.8</v>
      </c>
      <c r="I42" s="6">
        <v>2471.6</v>
      </c>
      <c r="J42" s="74"/>
      <c r="K42" s="74"/>
      <c r="L42" s="74"/>
      <c r="M42" s="74"/>
      <c r="N42" s="74"/>
      <c r="O42" s="76" t="s">
        <v>179</v>
      </c>
      <c r="P42" s="77">
        <f t="shared" si="26"/>
        <v>445</v>
      </c>
      <c r="Q42" s="77">
        <f t="shared" si="27"/>
        <v>710.1</v>
      </c>
      <c r="R42" s="77">
        <f t="shared" si="29"/>
        <v>2002.4</v>
      </c>
      <c r="S42" s="77">
        <f t="shared" si="28"/>
        <v>2307.1</v>
      </c>
    </row>
    <row r="43" spans="1:19">
      <c r="A43" t="s">
        <v>185</v>
      </c>
      <c r="B43" s="6">
        <v>431.2</v>
      </c>
      <c r="C43" s="6">
        <v>218</v>
      </c>
      <c r="D43" s="74"/>
      <c r="E43" s="74"/>
      <c r="F43" s="74"/>
      <c r="G43" s="6" t="s">
        <v>186</v>
      </c>
      <c r="H43" s="6">
        <v>1124.89</v>
      </c>
      <c r="I43" s="6">
        <v>1827.63</v>
      </c>
      <c r="J43" s="74"/>
      <c r="K43" s="74"/>
      <c r="L43" s="74"/>
      <c r="M43" s="74"/>
      <c r="N43" s="74"/>
      <c r="O43" s="76" t="s">
        <v>185</v>
      </c>
      <c r="P43" s="77">
        <f t="shared" si="26"/>
        <v>431.2</v>
      </c>
      <c r="Q43" s="77">
        <f t="shared" si="27"/>
        <v>1031.16</v>
      </c>
      <c r="R43" s="77" t="str">
        <f t="shared" si="29"/>
        <v/>
      </c>
      <c r="S43" s="77" t="str">
        <f t="shared" si="28"/>
        <v/>
      </c>
    </row>
    <row r="44" spans="1:19">
      <c r="A44" t="s">
        <v>181</v>
      </c>
      <c r="B44" s="6">
        <v>400</v>
      </c>
      <c r="C44" s="6">
        <v>200</v>
      </c>
      <c r="D44" s="74"/>
      <c r="E44" s="74"/>
      <c r="F44" s="74"/>
      <c r="G44" s="6" t="s">
        <v>187</v>
      </c>
      <c r="H44" s="6">
        <v>900</v>
      </c>
      <c r="I44" s="6">
        <v>1800</v>
      </c>
      <c r="J44" s="74"/>
      <c r="K44" s="74"/>
      <c r="L44" s="74"/>
      <c r="M44" s="74"/>
      <c r="N44" s="74"/>
      <c r="O44" s="76" t="s">
        <v>181</v>
      </c>
      <c r="P44" s="77">
        <f t="shared" si="26"/>
        <v>400</v>
      </c>
      <c r="Q44" s="77">
        <f t="shared" si="27"/>
        <v>1166.9</v>
      </c>
      <c r="R44" s="77">
        <f t="shared" si="29"/>
        <v>1924</v>
      </c>
      <c r="S44" s="77">
        <f t="shared" si="28"/>
        <v>2357.45</v>
      </c>
    </row>
    <row r="45" spans="1:19">
      <c r="A45" t="s">
        <v>188</v>
      </c>
      <c r="B45" s="6">
        <v>318.63</v>
      </c>
      <c r="C45" s="6">
        <v>129.09</v>
      </c>
      <c r="D45" s="74"/>
      <c r="E45" s="74"/>
      <c r="F45" s="74"/>
      <c r="G45" s="6" t="s">
        <v>189</v>
      </c>
      <c r="H45" s="6">
        <v>780</v>
      </c>
      <c r="I45" s="6">
        <v>1575.11</v>
      </c>
      <c r="J45" s="74"/>
      <c r="K45" s="74"/>
      <c r="L45" s="74"/>
      <c r="M45" s="74"/>
      <c r="N45" s="74"/>
      <c r="O45" s="76" t="s">
        <v>188</v>
      </c>
      <c r="P45" s="77">
        <f t="shared" si="26"/>
        <v>318.63</v>
      </c>
      <c r="Q45" s="77" t="str">
        <f t="shared" si="27"/>
        <v/>
      </c>
      <c r="R45" s="77" t="str">
        <f t="shared" si="29"/>
        <v/>
      </c>
      <c r="S45" s="77" t="str">
        <f t="shared" si="28"/>
        <v/>
      </c>
    </row>
    <row r="46" spans="1:19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6" t="s">
        <v>190</v>
      </c>
      <c r="P46" s="77" t="str">
        <f t="shared" si="26"/>
        <v/>
      </c>
      <c r="Q46" s="77">
        <f t="shared" si="27"/>
        <v>1589.6</v>
      </c>
      <c r="R46" s="77" t="str">
        <f t="shared" si="29"/>
        <v/>
      </c>
      <c r="S46" s="77" t="str">
        <f t="shared" si="28"/>
        <v/>
      </c>
    </row>
    <row r="47" spans="1:19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6" t="s">
        <v>191</v>
      </c>
      <c r="P47" s="77" t="str">
        <f t="shared" si="26"/>
        <v/>
      </c>
      <c r="Q47" s="77">
        <f t="shared" si="27"/>
        <v>734.35</v>
      </c>
      <c r="R47" s="77" t="str">
        <f t="shared" si="29"/>
        <v/>
      </c>
      <c r="S47" s="77" t="str">
        <f t="shared" si="28"/>
        <v/>
      </c>
    </row>
    <row r="48" spans="1:19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8" t="s">
        <v>184</v>
      </c>
      <c r="P48" s="77" t="str">
        <f t="shared" si="26"/>
        <v/>
      </c>
      <c r="Q48" s="77" t="str">
        <f t="shared" si="27"/>
        <v/>
      </c>
      <c r="R48" s="77">
        <f t="shared" si="29"/>
        <v>1235.8</v>
      </c>
      <c r="S48" s="77">
        <f t="shared" si="28"/>
        <v>1303.3</v>
      </c>
    </row>
    <row r="49" spans="1:19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8" t="s">
        <v>186</v>
      </c>
      <c r="P49" s="77" t="str">
        <f t="shared" si="26"/>
        <v/>
      </c>
      <c r="Q49" s="77" t="str">
        <f t="shared" si="27"/>
        <v/>
      </c>
      <c r="R49" s="77">
        <f t="shared" si="29"/>
        <v>1124.89</v>
      </c>
      <c r="S49" s="77">
        <f t="shared" si="28"/>
        <v>1414.5</v>
      </c>
    </row>
    <row r="50" spans="1:19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8" t="s">
        <v>187</v>
      </c>
      <c r="P50" s="77" t="str">
        <f t="shared" si="26"/>
        <v/>
      </c>
      <c r="Q50" s="77" t="str">
        <f t="shared" si="27"/>
        <v/>
      </c>
      <c r="R50" s="77">
        <f t="shared" si="29"/>
        <v>900</v>
      </c>
      <c r="S50" s="77">
        <f t="shared" si="28"/>
        <v>900</v>
      </c>
    </row>
    <row r="51" spans="1:19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8" t="s">
        <v>189</v>
      </c>
      <c r="P51" s="77" t="str">
        <f t="shared" si="26"/>
        <v/>
      </c>
      <c r="Q51" s="77" t="str">
        <f t="shared" si="27"/>
        <v/>
      </c>
      <c r="R51" s="77">
        <f t="shared" si="29"/>
        <v>780</v>
      </c>
      <c r="S51" s="77" t="str">
        <f t="shared" si="28"/>
        <v/>
      </c>
    </row>
    <row r="52" spans="1:19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8" t="s">
        <v>192</v>
      </c>
      <c r="P52" s="77" t="str">
        <f t="shared" si="26"/>
        <v/>
      </c>
      <c r="Q52" s="77" t="str">
        <f t="shared" si="27"/>
        <v/>
      </c>
      <c r="R52" s="77" t="str">
        <f t="shared" si="29"/>
        <v/>
      </c>
      <c r="S52" s="77">
        <f t="shared" si="28"/>
        <v>793.74</v>
      </c>
    </row>
    <row r="53" spans="1:19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</row>
    <row r="54" spans="1:19">
      <c r="A54" s="74" t="s">
        <v>193</v>
      </c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5" t="s">
        <v>171</v>
      </c>
      <c r="P54" s="79">
        <v>2020</v>
      </c>
      <c r="Q54" s="79">
        <v>2021</v>
      </c>
      <c r="R54" s="79">
        <v>2022</v>
      </c>
      <c r="S54" s="79">
        <v>2023</v>
      </c>
    </row>
    <row r="55" spans="1:19">
      <c r="A55" t="s">
        <v>178</v>
      </c>
      <c r="B55" s="6">
        <v>2689.1</v>
      </c>
      <c r="C55" s="6">
        <v>1364.1</v>
      </c>
      <c r="D55" s="74"/>
      <c r="E55" s="74"/>
      <c r="F55" s="74"/>
      <c r="G55" s="6" t="s">
        <v>178</v>
      </c>
      <c r="H55" s="6">
        <v>3115.38</v>
      </c>
      <c r="I55" s="6">
        <v>6196.96</v>
      </c>
      <c r="J55" s="74"/>
      <c r="K55" s="74"/>
      <c r="L55" s="74"/>
      <c r="M55" s="74"/>
      <c r="N55" s="74"/>
      <c r="O55" s="76" t="s">
        <v>176</v>
      </c>
      <c r="P55" s="78"/>
      <c r="Q55" s="78">
        <f>Q36-P36</f>
        <v>16.3999999999999</v>
      </c>
      <c r="R55" s="78">
        <f>Q36</f>
        <v>1501.82</v>
      </c>
      <c r="S55" s="78">
        <f>S36</f>
        <v>2744.05</v>
      </c>
    </row>
    <row r="56" spans="1:19">
      <c r="A56" t="s">
        <v>190</v>
      </c>
      <c r="B56" s="6">
        <v>1589.6</v>
      </c>
      <c r="C56" s="6">
        <v>536.4</v>
      </c>
      <c r="D56" s="74"/>
      <c r="E56" s="74"/>
      <c r="F56" s="74"/>
      <c r="G56" s="6" t="s">
        <v>177</v>
      </c>
      <c r="H56" s="6">
        <v>2754.37</v>
      </c>
      <c r="I56" s="6">
        <v>5191.74</v>
      </c>
      <c r="J56" s="74"/>
      <c r="K56" s="74"/>
      <c r="L56" s="74"/>
      <c r="M56" s="74"/>
      <c r="N56" s="74"/>
      <c r="O56" s="76" t="s">
        <v>178</v>
      </c>
      <c r="P56" s="78"/>
      <c r="Q56" s="78">
        <f t="shared" ref="Q56:Q63" si="30">Q37-P37</f>
        <v>1402.7</v>
      </c>
      <c r="R56" s="78">
        <f t="shared" ref="R56:R66" si="31">Q37</f>
        <v>2689.1</v>
      </c>
      <c r="S56" s="78">
        <f t="shared" ref="S56:S71" si="32">S37</f>
        <v>3115.38</v>
      </c>
    </row>
    <row r="57" spans="1:19">
      <c r="A57" t="s">
        <v>176</v>
      </c>
      <c r="B57" s="6">
        <v>1501.82</v>
      </c>
      <c r="C57" s="6">
        <v>743.15</v>
      </c>
      <c r="D57" s="74"/>
      <c r="E57" s="74"/>
      <c r="F57" s="74"/>
      <c r="G57" s="6" t="s">
        <v>176</v>
      </c>
      <c r="H57" s="6">
        <v>2744.05</v>
      </c>
      <c r="I57" s="6">
        <v>5388.87</v>
      </c>
      <c r="J57" s="74"/>
      <c r="K57" s="74"/>
      <c r="L57" s="74"/>
      <c r="M57" s="74"/>
      <c r="N57" s="74"/>
      <c r="O57" s="76" t="s">
        <v>177</v>
      </c>
      <c r="P57" s="78"/>
      <c r="Q57" s="78">
        <f t="shared" si="30"/>
        <v>46.66</v>
      </c>
      <c r="R57" s="78">
        <f t="shared" si="31"/>
        <v>782.78</v>
      </c>
      <c r="S57" s="78">
        <f t="shared" si="32"/>
        <v>2754.37</v>
      </c>
    </row>
    <row r="58" spans="1:19">
      <c r="A58" t="s">
        <v>181</v>
      </c>
      <c r="B58" s="6">
        <v>1166.9</v>
      </c>
      <c r="C58" s="6">
        <v>433.45</v>
      </c>
      <c r="D58" s="74"/>
      <c r="E58" s="74"/>
      <c r="F58" s="74"/>
      <c r="G58" s="6" t="s">
        <v>181</v>
      </c>
      <c r="H58" s="6">
        <v>2357.45</v>
      </c>
      <c r="I58" s="6">
        <v>4987.9</v>
      </c>
      <c r="J58" s="74"/>
      <c r="K58" s="74"/>
      <c r="L58" s="74"/>
      <c r="M58" s="74"/>
      <c r="N58" s="74"/>
      <c r="O58" s="76" t="s">
        <v>180</v>
      </c>
      <c r="P58" s="78"/>
      <c r="Q58" s="78">
        <f t="shared" si="30"/>
        <v>159.41</v>
      </c>
      <c r="R58" s="78">
        <f t="shared" si="31"/>
        <v>774.82</v>
      </c>
      <c r="S58" s="78" t="str">
        <f t="shared" si="32"/>
        <v/>
      </c>
    </row>
    <row r="59" spans="1:19">
      <c r="A59" t="s">
        <v>185</v>
      </c>
      <c r="B59" s="6">
        <v>1031.16</v>
      </c>
      <c r="C59" s="6">
        <v>608.31</v>
      </c>
      <c r="D59" s="74"/>
      <c r="E59" s="74"/>
      <c r="F59" s="74"/>
      <c r="G59" s="6" t="s">
        <v>179</v>
      </c>
      <c r="H59" s="6">
        <v>2307.1</v>
      </c>
      <c r="I59" s="6">
        <v>4815.2</v>
      </c>
      <c r="J59" s="74"/>
      <c r="K59" s="74"/>
      <c r="L59" s="74"/>
      <c r="M59" s="74"/>
      <c r="N59" s="74"/>
      <c r="O59" s="76" t="s">
        <v>182</v>
      </c>
      <c r="P59" s="78"/>
      <c r="Q59" s="78">
        <f t="shared" si="30"/>
        <v>85</v>
      </c>
      <c r="R59" s="78">
        <f t="shared" si="31"/>
        <v>625</v>
      </c>
      <c r="S59" s="78">
        <f t="shared" si="32"/>
        <v>1876</v>
      </c>
    </row>
    <row r="60" spans="1:19">
      <c r="A60" t="s">
        <v>177</v>
      </c>
      <c r="B60" s="6">
        <v>782.78</v>
      </c>
      <c r="C60" s="6">
        <v>368.5</v>
      </c>
      <c r="D60" s="74"/>
      <c r="E60" s="74"/>
      <c r="F60" s="74"/>
      <c r="G60" s="6" t="s">
        <v>182</v>
      </c>
      <c r="H60" s="6">
        <v>1876</v>
      </c>
      <c r="I60" s="6">
        <v>4765</v>
      </c>
      <c r="J60" s="74"/>
      <c r="K60" s="74"/>
      <c r="L60" s="74"/>
      <c r="M60" s="74"/>
      <c r="N60" s="74"/>
      <c r="O60" s="76" t="s">
        <v>183</v>
      </c>
      <c r="P60" s="78"/>
      <c r="Q60" s="78"/>
      <c r="R60" s="78" t="str">
        <f t="shared" si="31"/>
        <v/>
      </c>
      <c r="S60" s="78" t="str">
        <f t="shared" si="32"/>
        <v/>
      </c>
    </row>
    <row r="61" spans="1:19">
      <c r="A61" t="s">
        <v>180</v>
      </c>
      <c r="B61" s="6">
        <v>774.82</v>
      </c>
      <c r="C61" s="6">
        <v>306.85</v>
      </c>
      <c r="D61" s="74"/>
      <c r="E61" s="74"/>
      <c r="F61" s="74"/>
      <c r="G61" s="6" t="s">
        <v>186</v>
      </c>
      <c r="H61" s="6">
        <v>1414.5</v>
      </c>
      <c r="I61" s="6">
        <v>2182.23</v>
      </c>
      <c r="J61" s="74"/>
      <c r="K61" s="74"/>
      <c r="L61" s="74"/>
      <c r="M61" s="74"/>
      <c r="N61" s="74"/>
      <c r="O61" s="76" t="s">
        <v>179</v>
      </c>
      <c r="P61" s="78"/>
      <c r="Q61" s="78">
        <f t="shared" si="30"/>
        <v>265.1</v>
      </c>
      <c r="R61" s="78">
        <f t="shared" si="31"/>
        <v>710.1</v>
      </c>
      <c r="S61" s="78">
        <f t="shared" si="32"/>
        <v>2307.1</v>
      </c>
    </row>
    <row r="62" spans="1:19">
      <c r="A62" t="s">
        <v>191</v>
      </c>
      <c r="B62" s="6">
        <v>734.35</v>
      </c>
      <c r="C62" s="6">
        <v>228.2</v>
      </c>
      <c r="D62" s="74"/>
      <c r="E62" s="74"/>
      <c r="F62" s="74"/>
      <c r="G62" s="6" t="s">
        <v>184</v>
      </c>
      <c r="H62" s="6">
        <v>1303.3</v>
      </c>
      <c r="I62" s="6">
        <v>2596.6</v>
      </c>
      <c r="J62" s="74"/>
      <c r="K62" s="74"/>
      <c r="L62" s="74"/>
      <c r="M62" s="74"/>
      <c r="N62" s="74"/>
      <c r="O62" s="76" t="s">
        <v>185</v>
      </c>
      <c r="P62" s="78"/>
      <c r="Q62" s="78">
        <f t="shared" si="30"/>
        <v>599.96</v>
      </c>
      <c r="R62" s="78">
        <f t="shared" si="31"/>
        <v>1031.16</v>
      </c>
      <c r="S62" s="78" t="str">
        <f t="shared" si="32"/>
        <v/>
      </c>
    </row>
    <row r="63" spans="1:19">
      <c r="A63" t="s">
        <v>179</v>
      </c>
      <c r="B63" s="6">
        <v>710.1</v>
      </c>
      <c r="C63" s="6">
        <v>304.7</v>
      </c>
      <c r="D63" s="74"/>
      <c r="E63" s="74"/>
      <c r="F63" s="74"/>
      <c r="G63" s="6" t="s">
        <v>187</v>
      </c>
      <c r="H63" s="6">
        <v>900</v>
      </c>
      <c r="I63" s="6">
        <v>1800</v>
      </c>
      <c r="J63" s="74"/>
      <c r="K63" s="74"/>
      <c r="L63" s="74"/>
      <c r="M63" s="74"/>
      <c r="N63" s="74"/>
      <c r="O63" s="76" t="s">
        <v>181</v>
      </c>
      <c r="P63" s="78"/>
      <c r="Q63" s="78">
        <f t="shared" si="30"/>
        <v>766.9</v>
      </c>
      <c r="R63" s="78">
        <f t="shared" si="31"/>
        <v>1166.9</v>
      </c>
      <c r="S63" s="78">
        <f t="shared" si="32"/>
        <v>2357.45</v>
      </c>
    </row>
    <row r="64" spans="1:19">
      <c r="A64" t="s">
        <v>182</v>
      </c>
      <c r="B64" s="6">
        <v>625</v>
      </c>
      <c r="C64" s="6">
        <v>311</v>
      </c>
      <c r="D64" s="74"/>
      <c r="E64" s="74"/>
      <c r="F64" s="74"/>
      <c r="G64" s="6" t="s">
        <v>192</v>
      </c>
      <c r="H64" s="6">
        <v>793.74</v>
      </c>
      <c r="I64" s="6">
        <v>906.77</v>
      </c>
      <c r="J64" s="74"/>
      <c r="K64" s="74"/>
      <c r="L64" s="74"/>
      <c r="M64" s="74"/>
      <c r="N64" s="74"/>
      <c r="O64" s="76" t="s">
        <v>188</v>
      </c>
      <c r="P64" s="78"/>
      <c r="Q64" s="78"/>
      <c r="R64" s="78" t="str">
        <f t="shared" si="31"/>
        <v/>
      </c>
      <c r="S64" s="78" t="str">
        <f t="shared" si="32"/>
        <v/>
      </c>
    </row>
    <row r="65" spans="1:19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6" t="s">
        <v>190</v>
      </c>
      <c r="P65" s="78"/>
      <c r="Q65" s="78"/>
      <c r="R65" s="78">
        <f t="shared" si="31"/>
        <v>1589.6</v>
      </c>
      <c r="S65" s="78" t="str">
        <f t="shared" si="32"/>
        <v/>
      </c>
    </row>
    <row r="66" spans="1:19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6" t="s">
        <v>191</v>
      </c>
      <c r="P66" s="78"/>
      <c r="Q66" s="78"/>
      <c r="R66" s="78">
        <f t="shared" si="31"/>
        <v>734.35</v>
      </c>
      <c r="S66" s="78" t="str">
        <f t="shared" si="32"/>
        <v/>
      </c>
    </row>
    <row r="67" spans="1:19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8" t="s">
        <v>184</v>
      </c>
      <c r="P67" s="78"/>
      <c r="Q67" s="78"/>
      <c r="R67" s="78">
        <f>S48-R48</f>
        <v>67.5</v>
      </c>
      <c r="S67" s="78">
        <f t="shared" si="32"/>
        <v>1303.3</v>
      </c>
    </row>
    <row r="68" spans="1:19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8" t="s">
        <v>186</v>
      </c>
      <c r="P68" s="78"/>
      <c r="Q68" s="78"/>
      <c r="R68" s="78">
        <f t="shared" ref="R68:R69" si="33">S49-R49</f>
        <v>289.61</v>
      </c>
      <c r="S68" s="78">
        <f t="shared" si="32"/>
        <v>1414.5</v>
      </c>
    </row>
    <row r="69" spans="1:19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8" t="s">
        <v>187</v>
      </c>
      <c r="P69" s="78"/>
      <c r="Q69" s="78"/>
      <c r="R69" s="78">
        <f t="shared" si="33"/>
        <v>0</v>
      </c>
      <c r="S69" s="78">
        <f t="shared" si="32"/>
        <v>900</v>
      </c>
    </row>
    <row r="70" spans="1:19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8" t="s">
        <v>189</v>
      </c>
      <c r="P70" s="78"/>
      <c r="Q70" s="78"/>
      <c r="R70" s="78"/>
      <c r="S70" s="78">
        <f>R51</f>
        <v>780</v>
      </c>
    </row>
    <row r="71" spans="1:19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8" t="s">
        <v>192</v>
      </c>
      <c r="P71" s="78"/>
      <c r="Q71" s="78"/>
      <c r="R71" s="78"/>
      <c r="S71" s="78">
        <f t="shared" si="32"/>
        <v>793.74</v>
      </c>
    </row>
    <row r="72" spans="1:19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</row>
    <row r="73" spans="1:19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</row>
  </sheetData>
  <mergeCells count="6">
    <mergeCell ref="A3:A7"/>
    <mergeCell ref="A8:A12"/>
    <mergeCell ref="A13:A17"/>
    <mergeCell ref="A18:A22"/>
    <mergeCell ref="A23:A27"/>
    <mergeCell ref="A28:A32"/>
  </mergeCell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7"/>
  <sheetViews>
    <sheetView workbookViewId="0">
      <pane xSplit="2" ySplit="1" topLeftCell="C20" activePane="bottomRight" state="frozen"/>
      <selection/>
      <selection pane="topRight"/>
      <selection pane="bottomLeft"/>
      <selection pane="bottomRight" activeCell="K38" sqref="H38:K38"/>
    </sheetView>
  </sheetViews>
  <sheetFormatPr defaultColWidth="9" defaultRowHeight="13.85"/>
  <cols>
    <col min="1" max="1" width="14.7522123893805" customWidth="1"/>
    <col min="2" max="2" width="32" customWidth="1"/>
    <col min="3" max="12" width="9.24778761061947" customWidth="1"/>
  </cols>
  <sheetData>
    <row r="1" spans="1:20">
      <c r="A1" s="30"/>
      <c r="B1" s="31" t="s">
        <v>194</v>
      </c>
      <c r="C1" s="31">
        <v>2013</v>
      </c>
      <c r="D1" s="31">
        <v>2014</v>
      </c>
      <c r="E1" s="31">
        <v>2015</v>
      </c>
      <c r="F1" s="31">
        <v>2016</v>
      </c>
      <c r="G1" s="31">
        <v>2017</v>
      </c>
      <c r="H1" s="31">
        <v>2018</v>
      </c>
      <c r="I1" s="31">
        <v>2019</v>
      </c>
      <c r="J1" s="31">
        <v>2020</v>
      </c>
      <c r="K1" s="31">
        <v>2021</v>
      </c>
      <c r="L1" s="31">
        <v>2022</v>
      </c>
      <c r="M1" s="31">
        <v>2023</v>
      </c>
      <c r="N1" s="31">
        <v>2024</v>
      </c>
      <c r="O1" s="31">
        <v>2025</v>
      </c>
      <c r="P1" s="31">
        <v>2026</v>
      </c>
      <c r="Q1" s="31">
        <v>2027</v>
      </c>
      <c r="R1" s="31">
        <v>2028</v>
      </c>
      <c r="S1" s="31">
        <v>2029</v>
      </c>
      <c r="T1" s="31">
        <v>2030</v>
      </c>
    </row>
    <row r="2" spans="1:20">
      <c r="A2" s="32" t="s">
        <v>195</v>
      </c>
      <c r="B2" s="33" t="s">
        <v>196</v>
      </c>
      <c r="C2" s="19"/>
      <c r="D2" s="19"/>
      <c r="E2" s="19"/>
      <c r="F2" s="19">
        <v>24300</v>
      </c>
      <c r="G2" s="19">
        <v>28900</v>
      </c>
      <c r="H2" s="19">
        <v>31300</v>
      </c>
      <c r="I2" s="19">
        <v>32400</v>
      </c>
      <c r="J2" s="19">
        <v>35600</v>
      </c>
      <c r="K2" s="19">
        <f>46100</f>
        <v>46100</v>
      </c>
      <c r="L2" s="19">
        <f>L$5/L$22</f>
        <v>59711.4155251142</v>
      </c>
      <c r="M2" s="19">
        <v>86500</v>
      </c>
      <c r="N2" s="19"/>
      <c r="O2" s="19"/>
      <c r="P2" s="19"/>
      <c r="Q2" s="19"/>
      <c r="R2" s="19"/>
      <c r="S2" s="19"/>
      <c r="T2" s="19"/>
    </row>
    <row r="3" spans="1:20">
      <c r="A3" s="32"/>
      <c r="B3" s="34" t="s">
        <v>197</v>
      </c>
      <c r="C3" s="19"/>
      <c r="D3" s="19"/>
      <c r="E3" s="19"/>
      <c r="F3" s="19"/>
      <c r="G3" s="19"/>
      <c r="H3" s="19">
        <v>29990</v>
      </c>
      <c r="I3" s="19">
        <v>30300</v>
      </c>
      <c r="J3" s="19">
        <v>31790</v>
      </c>
      <c r="K3" s="19">
        <f>K$2*K$17</f>
        <v>39784.3</v>
      </c>
      <c r="L3" s="19">
        <f>L$2*L$17</f>
        <v>46037.501369863</v>
      </c>
      <c r="M3" s="19">
        <f>M2*M17</f>
        <v>51381</v>
      </c>
      <c r="N3" s="19"/>
      <c r="O3" s="19"/>
      <c r="P3" s="19"/>
      <c r="Q3" s="19"/>
      <c r="R3" s="19"/>
      <c r="S3" s="19"/>
      <c r="T3" s="19"/>
    </row>
    <row r="4" spans="1:20">
      <c r="A4" s="32"/>
      <c r="B4" s="34" t="s">
        <v>198</v>
      </c>
      <c r="C4" s="19"/>
      <c r="D4" s="19"/>
      <c r="E4" s="19"/>
      <c r="F4" s="19"/>
      <c r="G4" s="19"/>
      <c r="H4" s="19">
        <f>H2*H19</f>
        <v>219.1</v>
      </c>
      <c r="I4" s="19">
        <f>I2-I3-I5</f>
        <v>377.44</v>
      </c>
      <c r="J4" s="19">
        <f>J2-J3-J5</f>
        <v>524.8</v>
      </c>
      <c r="K4" s="19">
        <f>K2-K3-K5</f>
        <v>585.999999999997</v>
      </c>
      <c r="L4" s="19">
        <f>L2-L3-L5</f>
        <v>597.114155251151</v>
      </c>
      <c r="M4" s="19">
        <f>M2-M3-M5</f>
        <v>609.900000000001</v>
      </c>
      <c r="N4" s="19"/>
      <c r="O4" s="19"/>
      <c r="P4" s="19"/>
      <c r="Q4" s="19"/>
      <c r="R4" s="19"/>
      <c r="S4" s="19"/>
      <c r="T4" s="19"/>
    </row>
    <row r="5" spans="1:20">
      <c r="A5" s="32"/>
      <c r="B5" s="34" t="s">
        <v>199</v>
      </c>
      <c r="C5" s="19"/>
      <c r="D5" s="19"/>
      <c r="E5" s="19"/>
      <c r="F5" s="19"/>
      <c r="G5" s="19"/>
      <c r="H5" s="19"/>
      <c r="I5" s="35">
        <f>I6+I7+I8</f>
        <v>1722.56</v>
      </c>
      <c r="J5" s="35">
        <f>J6+J7+J8</f>
        <v>3285.2</v>
      </c>
      <c r="K5" s="36">
        <f>K16</f>
        <v>5729.7</v>
      </c>
      <c r="L5" s="36">
        <f>L16</f>
        <v>13076.8</v>
      </c>
      <c r="M5" s="35">
        <f>M16</f>
        <v>34509.1</v>
      </c>
      <c r="N5" s="19"/>
      <c r="O5" s="19"/>
      <c r="P5" s="19"/>
      <c r="Q5" s="19"/>
      <c r="R5" s="19"/>
      <c r="S5" s="19"/>
      <c r="T5" s="19"/>
    </row>
    <row r="6" spans="1:20">
      <c r="A6" s="32"/>
      <c r="B6" s="34" t="s">
        <v>200</v>
      </c>
      <c r="C6" s="19"/>
      <c r="D6" s="19"/>
      <c r="E6" s="19"/>
      <c r="F6" s="19"/>
      <c r="G6" s="19"/>
      <c r="H6" s="19"/>
      <c r="I6" s="19">
        <f>I2*I20</f>
        <v>12.96</v>
      </c>
      <c r="J6" s="19">
        <v>13</v>
      </c>
      <c r="K6" s="37">
        <f t="shared" ref="K6:M7" si="0">K$5*K29</f>
        <v>183.3504</v>
      </c>
      <c r="L6" s="37">
        <f t="shared" si="0"/>
        <v>196.152</v>
      </c>
      <c r="M6" s="19">
        <f t="shared" si="0"/>
        <v>207.0546</v>
      </c>
      <c r="N6" s="19"/>
      <c r="O6" s="19"/>
      <c r="P6" s="19"/>
      <c r="Q6" s="19"/>
      <c r="R6" s="19"/>
      <c r="S6" s="19"/>
      <c r="T6" s="19"/>
    </row>
    <row r="7" spans="1:20">
      <c r="A7" s="32"/>
      <c r="B7" s="34" t="s">
        <v>201</v>
      </c>
      <c r="C7" s="19"/>
      <c r="D7" s="19"/>
      <c r="E7" s="19"/>
      <c r="F7" s="19"/>
      <c r="G7" s="19"/>
      <c r="H7" s="19"/>
      <c r="I7" s="19"/>
      <c r="J7" s="19">
        <v>3</v>
      </c>
      <c r="K7" s="37">
        <f t="shared" si="0"/>
        <v>5.7297</v>
      </c>
      <c r="L7" s="37">
        <f t="shared" si="0"/>
        <v>13.0768</v>
      </c>
      <c r="M7" s="19">
        <f t="shared" si="0"/>
        <v>69.0182</v>
      </c>
      <c r="N7" s="19"/>
      <c r="O7" s="19"/>
      <c r="P7" s="19"/>
      <c r="Q7" s="19"/>
      <c r="R7" s="19"/>
      <c r="S7" s="19"/>
      <c r="T7" s="19"/>
    </row>
    <row r="8" spans="1:20">
      <c r="A8" s="32"/>
      <c r="B8" t="s">
        <v>202</v>
      </c>
      <c r="C8" s="35">
        <v>44</v>
      </c>
      <c r="D8" s="35">
        <v>71</v>
      </c>
      <c r="E8" s="35">
        <v>132</v>
      </c>
      <c r="F8" s="35">
        <v>243</v>
      </c>
      <c r="G8" s="35">
        <v>389.8</v>
      </c>
      <c r="H8" s="35">
        <v>1072.7</v>
      </c>
      <c r="I8" s="35">
        <v>1709.6</v>
      </c>
      <c r="J8" s="35">
        <v>3269.2</v>
      </c>
      <c r="K8" s="35">
        <f>K5-K6-K7</f>
        <v>5540.6199</v>
      </c>
      <c r="L8" s="35">
        <f>L5-L6-L7</f>
        <v>12867.5712</v>
      </c>
      <c r="M8" s="35">
        <f>M5-M6-M7</f>
        <v>34233.0272</v>
      </c>
      <c r="N8" s="19"/>
      <c r="O8" s="19"/>
      <c r="P8" s="19"/>
      <c r="Q8" s="19"/>
      <c r="R8" s="19"/>
      <c r="S8" s="19"/>
      <c r="T8" s="19"/>
    </row>
    <row r="9" spans="1:20">
      <c r="A9" s="32"/>
      <c r="B9" t="s">
        <v>203</v>
      </c>
      <c r="C9" s="19"/>
      <c r="D9" s="19"/>
      <c r="E9" s="19"/>
      <c r="F9" s="19">
        <f>F8*F25</f>
        <v>143.37</v>
      </c>
      <c r="G9" s="19">
        <f>G8*G25</f>
        <v>226.084</v>
      </c>
      <c r="H9" s="19">
        <f t="shared" ref="H9:J12" si="1">H$8*H25</f>
        <v>758.3989</v>
      </c>
      <c r="I9" s="19">
        <f t="shared" si="1"/>
        <v>1377.9376</v>
      </c>
      <c r="J9" s="19">
        <f t="shared" si="1"/>
        <v>2903.0496</v>
      </c>
      <c r="K9" s="19">
        <f t="shared" ref="K9:M12" si="2">K$5*K25</f>
        <v>5139.5409</v>
      </c>
      <c r="L9" s="19">
        <f t="shared" si="2"/>
        <v>12292.192</v>
      </c>
      <c r="M9" s="19">
        <f t="shared" si="2"/>
        <v>33577.3543</v>
      </c>
      <c r="N9" s="19"/>
      <c r="O9" s="19"/>
      <c r="P9" s="19"/>
      <c r="Q9" s="19"/>
      <c r="R9" s="19"/>
      <c r="S9" s="19"/>
      <c r="T9" s="19"/>
    </row>
    <row r="10" spans="1:20">
      <c r="A10" s="32"/>
      <c r="B10" t="s">
        <v>204</v>
      </c>
      <c r="C10" s="19"/>
      <c r="D10" s="19"/>
      <c r="E10" s="19"/>
      <c r="F10" s="19"/>
      <c r="G10" s="19"/>
      <c r="H10" s="19">
        <f t="shared" si="1"/>
        <v>291.7744</v>
      </c>
      <c r="I10" s="19">
        <f t="shared" si="1"/>
        <v>304.3088</v>
      </c>
      <c r="J10" s="19">
        <f t="shared" si="1"/>
        <v>333.4584</v>
      </c>
      <c r="K10" s="19">
        <f t="shared" si="2"/>
        <v>338.0523</v>
      </c>
      <c r="L10" s="19">
        <f t="shared" si="2"/>
        <v>405.3808</v>
      </c>
      <c r="M10" s="19">
        <f t="shared" si="2"/>
        <v>414.1092</v>
      </c>
      <c r="N10" s="19"/>
      <c r="O10" s="19"/>
      <c r="P10" s="19"/>
      <c r="Q10" s="19"/>
      <c r="R10" s="19"/>
      <c r="S10" s="19"/>
      <c r="T10" s="19"/>
    </row>
    <row r="11" spans="1:20">
      <c r="A11" s="32"/>
      <c r="B11" t="s">
        <v>205</v>
      </c>
      <c r="C11" s="19"/>
      <c r="D11" s="19"/>
      <c r="E11" s="19"/>
      <c r="F11" s="19"/>
      <c r="G11" s="19"/>
      <c r="H11" s="19">
        <f t="shared" si="1"/>
        <v>16.0905</v>
      </c>
      <c r="I11" s="19">
        <f t="shared" si="1"/>
        <v>20.5152</v>
      </c>
      <c r="J11" s="19">
        <f t="shared" si="1"/>
        <v>22.8844</v>
      </c>
      <c r="K11" s="19">
        <f t="shared" si="2"/>
        <v>51.5673</v>
      </c>
      <c r="L11" s="19">
        <f t="shared" si="2"/>
        <v>156.9216</v>
      </c>
      <c r="M11" s="19">
        <f t="shared" si="2"/>
        <v>207.0546</v>
      </c>
      <c r="N11" s="19"/>
      <c r="O11" s="19"/>
      <c r="P11" s="19"/>
      <c r="Q11" s="19"/>
      <c r="R11" s="19"/>
      <c r="S11" s="19"/>
      <c r="T11" s="19"/>
    </row>
    <row r="12" spans="1:20">
      <c r="A12" s="32"/>
      <c r="B12" t="s">
        <v>206</v>
      </c>
      <c r="C12" s="19"/>
      <c r="D12" s="19"/>
      <c r="E12" s="19"/>
      <c r="F12" s="19"/>
      <c r="G12" s="19"/>
      <c r="H12" s="19">
        <f t="shared" si="1"/>
        <v>6.4362</v>
      </c>
      <c r="I12" s="19">
        <f t="shared" si="1"/>
        <v>6.8384</v>
      </c>
      <c r="J12" s="19">
        <f t="shared" si="1"/>
        <v>6.5384</v>
      </c>
      <c r="K12" s="19">
        <f t="shared" si="2"/>
        <v>11.4594</v>
      </c>
      <c r="L12" s="19">
        <f t="shared" si="2"/>
        <v>13.0768</v>
      </c>
      <c r="M12" s="19">
        <f t="shared" si="2"/>
        <v>34.5091</v>
      </c>
      <c r="N12" s="19"/>
      <c r="O12" s="19"/>
      <c r="P12" s="19"/>
      <c r="Q12" s="19"/>
      <c r="R12" s="19"/>
      <c r="S12" s="19"/>
      <c r="T12" s="19"/>
    </row>
    <row r="13" spans="1:20">
      <c r="A13" s="32"/>
      <c r="B13" t="s">
        <v>207</v>
      </c>
      <c r="H13" s="19">
        <f>H8-SUM(H9:H12)</f>
        <v>0</v>
      </c>
      <c r="I13" s="19">
        <f>I8-SUM(I9:I12)</f>
        <v>0</v>
      </c>
      <c r="J13" s="19">
        <f t="shared" ref="J13:M13" si="3">J8-SUM(J9:J12)</f>
        <v>3.26920000000018</v>
      </c>
      <c r="K13" s="19">
        <f t="shared" si="3"/>
        <v>0</v>
      </c>
      <c r="L13" s="19">
        <f t="shared" si="3"/>
        <v>0</v>
      </c>
      <c r="M13" s="19">
        <f t="shared" si="3"/>
        <v>0</v>
      </c>
    </row>
    <row r="15" spans="1:20">
      <c r="A15" s="32"/>
    </row>
    <row r="16" spans="1:20">
      <c r="A16" s="32"/>
      <c r="B16" t="s">
        <v>208</v>
      </c>
      <c r="C16" s="19"/>
      <c r="D16" s="19"/>
      <c r="E16" s="19"/>
      <c r="F16" s="19"/>
      <c r="G16" s="19"/>
      <c r="H16" s="19"/>
      <c r="I16" s="19"/>
      <c r="J16" s="19"/>
      <c r="K16" s="37">
        <v>5729.7</v>
      </c>
      <c r="L16" s="37">
        <v>13076.8</v>
      </c>
      <c r="M16" s="37">
        <v>34509.1</v>
      </c>
      <c r="N16" s="19"/>
      <c r="O16" s="19"/>
      <c r="P16" s="19"/>
      <c r="Q16" s="19"/>
      <c r="R16" s="19"/>
      <c r="S16" s="19"/>
      <c r="T16" s="19"/>
    </row>
    <row r="17" spans="1:13">
      <c r="A17" s="32"/>
      <c r="B17" t="s">
        <v>209</v>
      </c>
      <c r="G17" s="26"/>
      <c r="H17" s="26">
        <v>0.958</v>
      </c>
      <c r="I17" s="26">
        <v>0.934</v>
      </c>
      <c r="J17" s="26">
        <v>0.893</v>
      </c>
      <c r="K17" s="26">
        <v>0.863</v>
      </c>
      <c r="L17" s="26">
        <v>0.771</v>
      </c>
      <c r="M17" s="26">
        <v>0.594</v>
      </c>
    </row>
    <row r="18" spans="1:13">
      <c r="A18" s="32"/>
      <c r="B18" t="s">
        <v>210</v>
      </c>
      <c r="G18" s="26">
        <v>0.013</v>
      </c>
      <c r="H18" s="26">
        <v>0.034</v>
      </c>
      <c r="I18" s="26">
        <v>0.053</v>
      </c>
      <c r="J18" s="26">
        <v>0.092</v>
      </c>
      <c r="K18" s="26">
        <f>1-K17-K19</f>
        <v>0.125</v>
      </c>
    </row>
    <row r="19" spans="1:13">
      <c r="A19" s="32"/>
      <c r="B19" t="s">
        <v>211</v>
      </c>
      <c r="G19" s="26"/>
      <c r="H19" s="26">
        <v>0.007</v>
      </c>
      <c r="I19" s="26">
        <v>0.013</v>
      </c>
      <c r="J19" s="26">
        <v>0.015</v>
      </c>
      <c r="K19" s="26">
        <v>0.012</v>
      </c>
      <c r="L19" s="26">
        <v>0.01</v>
      </c>
      <c r="M19" s="26">
        <v>0.007</v>
      </c>
    </row>
    <row r="20" spans="1:13">
      <c r="A20" s="32"/>
      <c r="B20" t="s">
        <v>212</v>
      </c>
      <c r="G20" s="26"/>
      <c r="H20" s="26">
        <v>0.001</v>
      </c>
      <c r="I20" s="26">
        <v>0.0004</v>
      </c>
      <c r="J20" s="26">
        <v>0.0003</v>
      </c>
    </row>
    <row r="21" spans="1:13">
      <c r="A21" s="32"/>
      <c r="B21" t="s">
        <v>213</v>
      </c>
      <c r="H21" s="26">
        <f>1-SUM(H17:H20)</f>
        <v>0</v>
      </c>
      <c r="I21" s="26">
        <f>1-SUM(I17:I20)</f>
        <v>-0.000399999999999956</v>
      </c>
      <c r="J21" s="26">
        <f>1-SUM(J17:J20)</f>
        <v>-0.000299999999999967</v>
      </c>
    </row>
    <row r="22" spans="1:13">
      <c r="A22" s="32"/>
      <c r="B22" t="s">
        <v>208</v>
      </c>
      <c r="I22" s="26"/>
      <c r="K22" s="26">
        <v>0.125</v>
      </c>
      <c r="L22" s="26">
        <v>0.219</v>
      </c>
      <c r="M22" s="26">
        <v>0.393</v>
      </c>
    </row>
    <row r="23" spans="1:13">
      <c r="A23" s="32"/>
    </row>
    <row r="24" spans="1:13">
      <c r="A24" s="32"/>
      <c r="B24" t="s">
        <v>214</v>
      </c>
    </row>
    <row r="25" spans="1:13">
      <c r="A25" s="32"/>
      <c r="B25" t="s">
        <v>215</v>
      </c>
      <c r="F25" s="38">
        <v>0.59</v>
      </c>
      <c r="G25" s="26">
        <v>0.58</v>
      </c>
      <c r="H25" s="26">
        <v>0.707</v>
      </c>
      <c r="I25" s="26">
        <v>0.806</v>
      </c>
      <c r="J25" s="26">
        <v>0.888</v>
      </c>
      <c r="K25" s="26">
        <v>0.897</v>
      </c>
      <c r="L25" s="26">
        <v>0.94</v>
      </c>
      <c r="M25" s="26">
        <v>0.973</v>
      </c>
    </row>
    <row r="26" spans="1:13">
      <c r="A26" s="32"/>
      <c r="B26" t="s">
        <v>216</v>
      </c>
      <c r="G26" s="26"/>
      <c r="H26" s="26">
        <v>0.272</v>
      </c>
      <c r="I26" s="26">
        <v>0.178</v>
      </c>
      <c r="J26" s="26">
        <v>0.102</v>
      </c>
      <c r="K26" s="26">
        <v>0.059</v>
      </c>
      <c r="L26" s="26">
        <v>0.031</v>
      </c>
      <c r="M26" s="26">
        <v>0.012</v>
      </c>
    </row>
    <row r="27" spans="1:13">
      <c r="A27" s="32"/>
      <c r="B27" t="s">
        <v>217</v>
      </c>
      <c r="G27" s="26"/>
      <c r="H27" s="26">
        <v>0.015</v>
      </c>
      <c r="I27" s="26">
        <v>0.012</v>
      </c>
      <c r="J27" s="26">
        <v>0.007</v>
      </c>
      <c r="K27" s="26">
        <v>0.009</v>
      </c>
      <c r="L27" s="26">
        <v>0.012</v>
      </c>
      <c r="M27" s="26">
        <v>0.006</v>
      </c>
    </row>
    <row r="28" spans="1:13">
      <c r="A28" s="32"/>
      <c r="B28" t="s">
        <v>218</v>
      </c>
      <c r="G28" s="26"/>
      <c r="H28" s="26">
        <v>0.006</v>
      </c>
      <c r="I28" s="26">
        <v>0.004</v>
      </c>
      <c r="J28" s="26">
        <v>0.002</v>
      </c>
      <c r="K28" s="26">
        <v>0.002</v>
      </c>
      <c r="L28" s="26">
        <v>0.001</v>
      </c>
      <c r="M28" s="26">
        <v>0.001</v>
      </c>
    </row>
    <row r="29" spans="1:13">
      <c r="A29" s="32"/>
      <c r="B29" t="s">
        <v>212</v>
      </c>
      <c r="K29" s="26">
        <v>0.032</v>
      </c>
      <c r="L29" s="26">
        <v>0.015</v>
      </c>
      <c r="M29" s="26">
        <v>0.006</v>
      </c>
    </row>
    <row r="30" spans="1:13">
      <c r="A30" s="32"/>
      <c r="B30" t="s">
        <v>213</v>
      </c>
      <c r="K30" s="26">
        <v>0.001</v>
      </c>
      <c r="L30" s="26">
        <v>0.001</v>
      </c>
      <c r="M30" s="26">
        <v>0.002</v>
      </c>
    </row>
    <row r="31" spans="1:13">
      <c r="A31" s="32"/>
      <c r="B31" t="s">
        <v>219</v>
      </c>
      <c r="C31" s="26">
        <f t="shared" ref="C31:M31" si="4">1-SUM(C25:C30)</f>
        <v>1</v>
      </c>
      <c r="D31" s="26">
        <f t="shared" si="4"/>
        <v>1</v>
      </c>
      <c r="E31" s="26">
        <f t="shared" si="4"/>
        <v>1</v>
      </c>
      <c r="F31" s="26">
        <f t="shared" si="4"/>
        <v>0.41</v>
      </c>
      <c r="G31" s="26">
        <f t="shared" si="4"/>
        <v>0.42</v>
      </c>
      <c r="H31" s="26">
        <f t="shared" si="4"/>
        <v>0</v>
      </c>
      <c r="I31" s="26">
        <f t="shared" si="4"/>
        <v>0</v>
      </c>
      <c r="J31" s="26">
        <f t="shared" si="4"/>
        <v>0.001</v>
      </c>
      <c r="K31" s="26">
        <f t="shared" si="4"/>
        <v>0</v>
      </c>
      <c r="L31" s="26">
        <f t="shared" si="4"/>
        <v>0</v>
      </c>
      <c r="M31" s="26">
        <f t="shared" si="4"/>
        <v>0</v>
      </c>
    </row>
    <row r="34" spans="1:20">
      <c r="A34" s="27" t="s">
        <v>220</v>
      </c>
      <c r="B34" t="s">
        <v>221</v>
      </c>
      <c r="C34" s="39">
        <f t="shared" ref="C34:G44" si="5">C$8</f>
        <v>44</v>
      </c>
      <c r="D34" s="39">
        <f t="shared" si="5"/>
        <v>71</v>
      </c>
      <c r="E34" s="39">
        <f t="shared" si="5"/>
        <v>132</v>
      </c>
      <c r="F34" s="39">
        <f t="shared" si="5"/>
        <v>243</v>
      </c>
      <c r="G34" s="39">
        <f t="shared" si="5"/>
        <v>389.8</v>
      </c>
      <c r="H34" s="39">
        <f>H$8</f>
        <v>1072.7</v>
      </c>
      <c r="I34" s="39">
        <f t="shared" ref="I34:J43" si="6">I$8</f>
        <v>1709.6</v>
      </c>
      <c r="J34" s="39">
        <f t="shared" si="6"/>
        <v>3269.2</v>
      </c>
      <c r="K34" s="39">
        <f>K$5</f>
        <v>5729.7</v>
      </c>
      <c r="L34" s="39">
        <f t="shared" ref="L34:M37" si="7">L$5</f>
        <v>13076.8</v>
      </c>
      <c r="M34" s="39">
        <f t="shared" si="7"/>
        <v>34509.1</v>
      </c>
      <c r="N34" s="6">
        <v>64620</v>
      </c>
      <c r="O34" s="6"/>
      <c r="P34" s="6"/>
      <c r="Q34" s="6"/>
      <c r="R34" s="6">
        <v>168700</v>
      </c>
      <c r="S34" s="6"/>
      <c r="T34" s="6">
        <v>221180</v>
      </c>
    </row>
    <row r="35" spans="1:20">
      <c r="A35" s="27"/>
      <c r="B35" t="s">
        <v>222</v>
      </c>
      <c r="C35" s="39">
        <f t="shared" si="5"/>
        <v>44</v>
      </c>
      <c r="D35" s="39">
        <f t="shared" si="5"/>
        <v>71</v>
      </c>
      <c r="E35" s="39">
        <f t="shared" si="5"/>
        <v>132</v>
      </c>
      <c r="F35" s="39">
        <f t="shared" si="5"/>
        <v>243</v>
      </c>
      <c r="G35" s="39">
        <f t="shared" si="5"/>
        <v>389.8</v>
      </c>
      <c r="H35" s="39">
        <f t="shared" ref="H35:H44" si="8">H$8</f>
        <v>1072.7</v>
      </c>
      <c r="I35" s="39">
        <f t="shared" si="6"/>
        <v>1709.6</v>
      </c>
      <c r="J35" s="39">
        <f t="shared" si="6"/>
        <v>3269.2</v>
      </c>
      <c r="K35" s="39">
        <f>K$5</f>
        <v>5729.7</v>
      </c>
      <c r="L35" s="39">
        <f t="shared" si="7"/>
        <v>13076.8</v>
      </c>
      <c r="M35" s="39">
        <f>M$5</f>
        <v>34509.1</v>
      </c>
      <c r="N35" s="6">
        <v>75710</v>
      </c>
      <c r="O35" s="6"/>
      <c r="P35" s="6"/>
      <c r="Q35" s="6"/>
      <c r="R35" s="6">
        <v>220900</v>
      </c>
      <c r="S35" s="6"/>
      <c r="T35" s="6">
        <v>313860</v>
      </c>
    </row>
    <row r="36" spans="1:20">
      <c r="A36" s="27"/>
      <c r="B36" t="s">
        <v>223</v>
      </c>
      <c r="C36" s="39">
        <f t="shared" si="5"/>
        <v>44</v>
      </c>
      <c r="D36" s="39">
        <f t="shared" si="5"/>
        <v>71</v>
      </c>
      <c r="E36" s="39">
        <f t="shared" si="5"/>
        <v>132</v>
      </c>
      <c r="F36" s="39">
        <f t="shared" si="5"/>
        <v>243</v>
      </c>
      <c r="G36" s="39">
        <f t="shared" si="5"/>
        <v>389.8</v>
      </c>
      <c r="H36" s="39">
        <f t="shared" si="8"/>
        <v>1072.7</v>
      </c>
      <c r="I36" s="39">
        <f t="shared" si="6"/>
        <v>1709.6</v>
      </c>
      <c r="J36" s="39">
        <f t="shared" si="6"/>
        <v>3269.2</v>
      </c>
      <c r="K36" s="39">
        <f t="shared" ref="K36:K39" si="9">K$5</f>
        <v>5729.7</v>
      </c>
      <c r="L36" s="39">
        <f t="shared" si="7"/>
        <v>13076.8</v>
      </c>
      <c r="M36" s="6">
        <f>L36+10384</f>
        <v>23460.8</v>
      </c>
      <c r="N36" s="6"/>
      <c r="O36" s="6"/>
      <c r="P36" s="6"/>
      <c r="Q36" s="6">
        <v>97008</v>
      </c>
      <c r="R36" s="6"/>
      <c r="S36" s="6"/>
      <c r="T36" s="6"/>
    </row>
    <row r="37" spans="1:20">
      <c r="A37" s="27"/>
      <c r="B37" t="s">
        <v>224</v>
      </c>
      <c r="C37" s="39">
        <f t="shared" si="5"/>
        <v>44</v>
      </c>
      <c r="D37" s="39">
        <f t="shared" si="5"/>
        <v>71</v>
      </c>
      <c r="E37" s="39">
        <f t="shared" si="5"/>
        <v>132</v>
      </c>
      <c r="F37" s="39">
        <f t="shared" si="5"/>
        <v>243</v>
      </c>
      <c r="G37" s="39">
        <f t="shared" si="5"/>
        <v>389.8</v>
      </c>
      <c r="H37" s="39">
        <f t="shared" si="8"/>
        <v>1072.7</v>
      </c>
      <c r="I37" s="39">
        <f t="shared" si="6"/>
        <v>1709.6</v>
      </c>
      <c r="J37" s="39">
        <f t="shared" si="6"/>
        <v>3269.2</v>
      </c>
      <c r="K37" s="39">
        <f t="shared" si="9"/>
        <v>5729.7</v>
      </c>
      <c r="L37" s="39">
        <f t="shared" si="7"/>
        <v>13076.8</v>
      </c>
      <c r="M37" s="6">
        <f>18195+L37</f>
        <v>31271.8</v>
      </c>
      <c r="N37" s="6"/>
      <c r="O37" s="6"/>
      <c r="P37" s="6"/>
      <c r="Q37" s="6">
        <v>138386</v>
      </c>
      <c r="R37" s="6"/>
      <c r="S37" s="6"/>
      <c r="T37" s="6"/>
    </row>
    <row r="38" spans="1:20">
      <c r="A38" s="27"/>
      <c r="B38" t="s">
        <v>225</v>
      </c>
      <c r="C38" s="39">
        <f t="shared" si="5"/>
        <v>44</v>
      </c>
      <c r="D38" s="39">
        <f t="shared" si="5"/>
        <v>71</v>
      </c>
      <c r="E38" s="39">
        <f t="shared" si="5"/>
        <v>132</v>
      </c>
      <c r="F38" s="39">
        <f t="shared" si="5"/>
        <v>243</v>
      </c>
      <c r="G38" s="39">
        <f t="shared" si="5"/>
        <v>389.8</v>
      </c>
      <c r="H38" s="39">
        <f t="shared" si="8"/>
        <v>1072.7</v>
      </c>
      <c r="I38" s="39">
        <f t="shared" si="6"/>
        <v>1709.6</v>
      </c>
      <c r="J38" s="39">
        <f t="shared" si="6"/>
        <v>3269.2</v>
      </c>
      <c r="K38" s="39">
        <f t="shared" si="9"/>
        <v>5729.7</v>
      </c>
      <c r="L38" s="6">
        <v>9531.7</v>
      </c>
      <c r="M38" s="6">
        <v>15260</v>
      </c>
      <c r="N38" s="6">
        <v>23750</v>
      </c>
      <c r="O38" s="6">
        <v>35440</v>
      </c>
      <c r="P38" s="6">
        <v>48510.3</v>
      </c>
      <c r="Q38" s="6"/>
      <c r="R38" s="6"/>
      <c r="S38" s="6"/>
      <c r="T38" s="6"/>
    </row>
    <row r="39" spans="1:20">
      <c r="A39" s="27"/>
      <c r="B39" t="s">
        <v>226</v>
      </c>
      <c r="C39" s="39">
        <f t="shared" si="5"/>
        <v>44</v>
      </c>
      <c r="D39" s="39">
        <f t="shared" si="5"/>
        <v>71</v>
      </c>
      <c r="E39" s="39">
        <f t="shared" si="5"/>
        <v>132</v>
      </c>
      <c r="F39" s="39">
        <f t="shared" si="5"/>
        <v>243</v>
      </c>
      <c r="G39" s="39">
        <f t="shared" si="5"/>
        <v>389.8</v>
      </c>
      <c r="H39" s="39">
        <f t="shared" si="8"/>
        <v>1072.7</v>
      </c>
      <c r="I39" s="39">
        <f t="shared" si="6"/>
        <v>1709.6</v>
      </c>
      <c r="J39" s="39">
        <f t="shared" si="6"/>
        <v>3269.2</v>
      </c>
      <c r="K39" s="39">
        <f t="shared" si="9"/>
        <v>5729.7</v>
      </c>
      <c r="L39" s="6">
        <v>11192.3</v>
      </c>
      <c r="M39" s="6">
        <v>18240</v>
      </c>
      <c r="N39" s="6">
        <v>32530</v>
      </c>
      <c r="O39" s="6">
        <v>56100</v>
      </c>
      <c r="P39" s="6">
        <v>79535.4</v>
      </c>
      <c r="Q39" s="6"/>
      <c r="R39" s="6"/>
      <c r="S39" s="6"/>
      <c r="T39" s="6"/>
    </row>
    <row r="40" spans="1:20">
      <c r="A40" s="27"/>
      <c r="B40" t="s">
        <v>227</v>
      </c>
      <c r="C40" s="39">
        <f t="shared" si="5"/>
        <v>44</v>
      </c>
      <c r="D40" s="39">
        <f t="shared" si="5"/>
        <v>71</v>
      </c>
      <c r="E40" s="39">
        <f t="shared" si="5"/>
        <v>132</v>
      </c>
      <c r="F40" s="39">
        <f t="shared" si="5"/>
        <v>243</v>
      </c>
      <c r="G40" s="39">
        <f t="shared" si="5"/>
        <v>389.8</v>
      </c>
      <c r="H40" s="39">
        <f t="shared" si="8"/>
        <v>1072.7</v>
      </c>
      <c r="I40" s="39">
        <f t="shared" si="6"/>
        <v>1709.6</v>
      </c>
      <c r="J40" s="39">
        <f t="shared" si="6"/>
        <v>3269.2</v>
      </c>
      <c r="K40" s="6">
        <v>5790.8</v>
      </c>
      <c r="L40" s="6"/>
      <c r="M40" s="6"/>
      <c r="N40" s="6"/>
      <c r="O40" s="6">
        <v>35519.1</v>
      </c>
      <c r="P40" s="6"/>
      <c r="Q40" s="6"/>
      <c r="R40" s="6"/>
      <c r="S40" s="6"/>
      <c r="T40" s="6"/>
    </row>
    <row r="41" spans="1:20">
      <c r="A41" s="27"/>
      <c r="B41" t="s">
        <v>228</v>
      </c>
      <c r="C41" s="39">
        <f t="shared" si="5"/>
        <v>44</v>
      </c>
      <c r="D41" s="39">
        <f t="shared" si="5"/>
        <v>71</v>
      </c>
      <c r="E41" s="39">
        <f t="shared" si="5"/>
        <v>132</v>
      </c>
      <c r="F41" s="39">
        <f t="shared" si="5"/>
        <v>243</v>
      </c>
      <c r="G41" s="39">
        <f t="shared" si="5"/>
        <v>389.8</v>
      </c>
      <c r="H41" s="39">
        <f t="shared" si="8"/>
        <v>1072.7</v>
      </c>
      <c r="I41" s="39">
        <f t="shared" si="6"/>
        <v>1709.6</v>
      </c>
      <c r="J41" s="39">
        <f t="shared" si="6"/>
        <v>3269.2</v>
      </c>
      <c r="K41" s="6">
        <v>6614.8</v>
      </c>
      <c r="L41" s="6"/>
      <c r="M41" s="6"/>
      <c r="N41" s="6"/>
      <c r="O41" s="6">
        <v>55883.2</v>
      </c>
      <c r="P41" s="6"/>
      <c r="Q41" s="6"/>
      <c r="R41" s="6"/>
      <c r="S41" s="6"/>
      <c r="T41" s="6"/>
    </row>
    <row r="42" spans="1:20">
      <c r="A42" s="27"/>
      <c r="B42" t="s">
        <v>229</v>
      </c>
      <c r="C42" s="39">
        <f t="shared" si="5"/>
        <v>44</v>
      </c>
      <c r="D42" s="39">
        <f t="shared" si="5"/>
        <v>71</v>
      </c>
      <c r="E42" s="39">
        <f t="shared" si="5"/>
        <v>132</v>
      </c>
      <c r="F42" s="39">
        <f t="shared" si="5"/>
        <v>243</v>
      </c>
      <c r="G42" s="39">
        <f t="shared" si="5"/>
        <v>389.8</v>
      </c>
      <c r="H42" s="39">
        <f t="shared" si="8"/>
        <v>1072.7</v>
      </c>
      <c r="I42" s="39">
        <f t="shared" si="6"/>
        <v>1709.6</v>
      </c>
      <c r="J42" s="6">
        <v>2726.7</v>
      </c>
      <c r="K42" s="6"/>
      <c r="L42" s="6"/>
      <c r="M42" s="6"/>
      <c r="N42" s="6">
        <v>15529.9</v>
      </c>
      <c r="O42" s="6"/>
      <c r="P42" s="6"/>
      <c r="Q42" s="6"/>
      <c r="R42" s="6"/>
      <c r="S42" s="6"/>
      <c r="T42" s="6"/>
    </row>
    <row r="43" spans="1:20">
      <c r="A43" s="27"/>
      <c r="B43" t="s">
        <v>230</v>
      </c>
      <c r="C43" s="39">
        <f t="shared" si="5"/>
        <v>44</v>
      </c>
      <c r="D43" s="39">
        <f t="shared" si="5"/>
        <v>71</v>
      </c>
      <c r="E43" s="39">
        <f t="shared" si="5"/>
        <v>132</v>
      </c>
      <c r="F43" s="39">
        <f t="shared" si="5"/>
        <v>243</v>
      </c>
      <c r="G43" s="39">
        <f t="shared" si="5"/>
        <v>389.8</v>
      </c>
      <c r="H43" s="39">
        <f t="shared" si="8"/>
        <v>1072.7</v>
      </c>
      <c r="I43" s="39">
        <f t="shared" si="6"/>
        <v>1709.6</v>
      </c>
      <c r="J43" s="6">
        <v>3092.2</v>
      </c>
      <c r="K43" s="6"/>
      <c r="L43" s="6"/>
      <c r="M43" s="6"/>
      <c r="N43" s="6">
        <v>23834.8</v>
      </c>
      <c r="O43" s="6"/>
      <c r="P43" s="6"/>
      <c r="Q43" s="6"/>
      <c r="R43" s="6"/>
      <c r="S43" s="6"/>
      <c r="T43" s="6"/>
    </row>
    <row r="44" spans="1:20">
      <c r="A44" s="27"/>
      <c r="B44" t="s">
        <v>231</v>
      </c>
      <c r="C44" s="39">
        <f t="shared" si="5"/>
        <v>44</v>
      </c>
      <c r="D44" s="39">
        <f t="shared" si="5"/>
        <v>71</v>
      </c>
      <c r="E44" s="39">
        <f t="shared" si="5"/>
        <v>132</v>
      </c>
      <c r="F44" s="39">
        <f t="shared" si="5"/>
        <v>243</v>
      </c>
      <c r="G44" s="39">
        <f t="shared" si="5"/>
        <v>389.8</v>
      </c>
      <c r="H44" s="39">
        <f t="shared" si="8"/>
        <v>1072.7</v>
      </c>
      <c r="I44" s="6">
        <v>1914.5</v>
      </c>
      <c r="J44" s="6"/>
      <c r="K44" s="6"/>
      <c r="L44" s="6"/>
      <c r="M44" s="6">
        <v>19319.2</v>
      </c>
      <c r="N44" s="6"/>
      <c r="O44" s="6"/>
      <c r="P44" s="6"/>
      <c r="Q44" s="6"/>
      <c r="R44" s="6"/>
      <c r="S44" s="6"/>
      <c r="T44" s="6"/>
    </row>
    <row r="47" spans="1:20">
      <c r="A47" t="s">
        <v>232</v>
      </c>
      <c r="F47" s="27">
        <v>2016</v>
      </c>
      <c r="G47" s="19">
        <v>2017</v>
      </c>
      <c r="H47" s="27">
        <v>2018</v>
      </c>
      <c r="I47" s="19">
        <v>2019</v>
      </c>
      <c r="J47" s="27">
        <v>2020</v>
      </c>
      <c r="K47" s="19">
        <v>2021</v>
      </c>
      <c r="L47" s="27">
        <v>2022</v>
      </c>
      <c r="M47" s="19">
        <v>2023</v>
      </c>
      <c r="N47" s="27">
        <v>2024</v>
      </c>
      <c r="O47" s="19">
        <v>2025</v>
      </c>
      <c r="P47" s="27">
        <v>2026</v>
      </c>
      <c r="Q47" s="19">
        <v>2050</v>
      </c>
    </row>
    <row r="48" spans="1:20">
      <c r="B48" t="s">
        <v>233</v>
      </c>
      <c r="C48" s="26">
        <f>49.7%</f>
        <v>0.497</v>
      </c>
      <c r="J48" s="19"/>
      <c r="K48" s="19"/>
    </row>
    <row r="49" spans="2:17">
      <c r="B49" t="s">
        <v>234</v>
      </c>
      <c r="C49" s="26">
        <v>0.274</v>
      </c>
      <c r="D49" t="s">
        <v>235</v>
      </c>
      <c r="E49" t="s">
        <v>236</v>
      </c>
      <c r="F49">
        <v>0</v>
      </c>
      <c r="G49">
        <v>100</v>
      </c>
      <c r="H49">
        <f>G49+208</f>
        <v>308</v>
      </c>
      <c r="I49">
        <f>H49+103</f>
        <v>411</v>
      </c>
      <c r="J49" s="19">
        <f>I49+262</f>
        <v>673</v>
      </c>
      <c r="K49" s="19">
        <f>J49+SUM(Past!Y53:Y57)</f>
        <v>2181.2</v>
      </c>
      <c r="L49" s="19">
        <f>K49+'CN ST Forecast'!N10</f>
        <v>6666.2</v>
      </c>
      <c r="M49" s="19">
        <f>CNESA!L49+3390</f>
        <v>10056.2</v>
      </c>
      <c r="N49" s="19">
        <f>M49+6290</f>
        <v>16346.2</v>
      </c>
      <c r="O49">
        <f>(O38-N38)*O53+N49</f>
        <v>26135.8444571895</v>
      </c>
      <c r="P49">
        <f>(P38-O38)*P53+O49</f>
        <v>37081.4039053336</v>
      </c>
      <c r="Q49">
        <v>210000</v>
      </c>
    </row>
    <row r="50" spans="2:17">
      <c r="B50" t="s">
        <v>237</v>
      </c>
      <c r="C50" s="26">
        <v>0.229</v>
      </c>
      <c r="J50" s="19"/>
      <c r="K50" s="19"/>
    </row>
    <row r="51" spans="2:17">
      <c r="B51" t="s">
        <v>238</v>
      </c>
      <c r="K51" s="19"/>
    </row>
    <row r="53" spans="2:17">
      <c r="L53">
        <f>(L49-K49)/(L38-K38)</f>
        <v>1.17964229352972</v>
      </c>
      <c r="M53">
        <f>(M49-L49)/(M38-L38)</f>
        <v>0.591798613899412</v>
      </c>
      <c r="N53">
        <f>(N49-M49)/(N38-M38)</f>
        <v>0.740871613663133</v>
      </c>
      <c r="O53">
        <f>AVERAGE(L53:N53)</f>
        <v>0.837437507030755</v>
      </c>
      <c r="P53">
        <f>O53</f>
        <v>0.837437507030755</v>
      </c>
    </row>
    <row r="54" spans="2:17">
      <c r="L54">
        <f>(L39-K39)/(L38-K38)</f>
        <v>1.43677012098895</v>
      </c>
      <c r="M54">
        <f>(M39-L39)/(M38-L38)</f>
        <v>1.230330115392</v>
      </c>
      <c r="N54">
        <f>(N39-M39)/(N38-M38)</f>
        <v>1.6831566548881</v>
      </c>
      <c r="O54">
        <f>(O39-N39)/(O38-N38)</f>
        <v>2.01625320786997</v>
      </c>
      <c r="P54">
        <f>(P39-O39)/(P38-O38)</f>
        <v>1.7930269389379</v>
      </c>
    </row>
    <row r="56" spans="2:17">
      <c r="D56" t="s">
        <v>239</v>
      </c>
      <c r="E56" t="s">
        <v>240</v>
      </c>
      <c r="J56" s="19">
        <f>J49</f>
        <v>673</v>
      </c>
      <c r="K56" s="19">
        <f>K49</f>
        <v>2181.2</v>
      </c>
      <c r="L56" s="19">
        <f>L49</f>
        <v>6666.2</v>
      </c>
      <c r="M56">
        <f>(M49-L49)*M54+L56</f>
        <v>10837.0190911789</v>
      </c>
      <c r="N56">
        <f>(N49-M49)*N54+M56</f>
        <v>21424.0744504251</v>
      </c>
      <c r="O56">
        <f>(O49-N49)*O54+N56</f>
        <v>41162.47649114</v>
      </c>
      <c r="P56">
        <f>(P49-O49)*P54+O56</f>
        <v>60788.1594434085</v>
      </c>
    </row>
    <row r="57" spans="2:17">
      <c r="D57" t="s">
        <v>196</v>
      </c>
      <c r="E57" t="s">
        <v>241</v>
      </c>
      <c r="J57" s="19">
        <f>J56-J49</f>
        <v>0</v>
      </c>
      <c r="K57" s="19">
        <f>K56-K49</f>
        <v>0</v>
      </c>
      <c r="L57" s="19">
        <f>L56-L49</f>
        <v>0</v>
      </c>
      <c r="M57" s="19">
        <f t="shared" ref="M57:P57" si="10">M56-M49</f>
        <v>780.819091178884</v>
      </c>
      <c r="N57" s="19">
        <f t="shared" si="10"/>
        <v>5077.87445042505</v>
      </c>
      <c r="O57" s="19">
        <f t="shared" si="10"/>
        <v>15026.6320339504</v>
      </c>
      <c r="P57" s="19">
        <f t="shared" si="10"/>
        <v>23706.7555380749</v>
      </c>
    </row>
  </sheetData>
  <mergeCells count="3">
    <mergeCell ref="A2:A13"/>
    <mergeCell ref="A15:A31"/>
    <mergeCell ref="A34:A44"/>
  </mergeCells>
  <pageMargins left="0.7" right="0.7" top="0.75" bottom="0.75" header="0.3" footer="0.3"/>
  <pageSetup paperSize="9" orientation="portrait" horizontalDpi="1200" verticalDpi="12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2:AA81"/>
  <sheetViews>
    <sheetView zoomScale="85" zoomScaleNormal="85" topLeftCell="A24" workbookViewId="0">
      <selection activeCell="O95" sqref="O95"/>
    </sheetView>
  </sheetViews>
  <sheetFormatPr defaultColWidth="9" defaultRowHeight="13.85"/>
  <cols>
    <col min="20" max="24" width="12.2477876106195" customWidth="1"/>
    <col min="25" max="25" width="12.2477876106195" style="19" customWidth="1"/>
    <col min="26" max="26" width="12.2477876106195" customWidth="1"/>
  </cols>
  <sheetData>
    <row r="2" spans="20:26">
      <c r="T2" t="s">
        <v>242</v>
      </c>
      <c r="Y2"/>
    </row>
    <row r="3" spans="20:26">
      <c r="T3" t="s">
        <v>243</v>
      </c>
      <c r="Y3"/>
    </row>
    <row r="4" spans="20:26">
      <c r="T4" t="s">
        <v>244</v>
      </c>
      <c r="Y4"/>
    </row>
    <row r="5" spans="20:26">
      <c r="U5" t="s">
        <v>245</v>
      </c>
      <c r="V5" t="s">
        <v>246</v>
      </c>
      <c r="W5" t="s">
        <v>247</v>
      </c>
      <c r="X5" t="s">
        <v>248</v>
      </c>
      <c r="Y5" t="s">
        <v>249</v>
      </c>
      <c r="Z5" t="s">
        <v>250</v>
      </c>
    </row>
    <row r="6" spans="20:26">
      <c r="T6">
        <v>2015</v>
      </c>
      <c r="U6">
        <v>0</v>
      </c>
      <c r="V6">
        <v>0.2</v>
      </c>
      <c r="W6">
        <v>0.1</v>
      </c>
      <c r="X6">
        <v>0</v>
      </c>
      <c r="Y6">
        <v>0</v>
      </c>
      <c r="Z6">
        <v>0</v>
      </c>
    </row>
    <row r="7" spans="20:26">
      <c r="T7">
        <v>2016</v>
      </c>
      <c r="U7">
        <v>0.1</v>
      </c>
      <c r="V7">
        <v>0.2</v>
      </c>
      <c r="W7">
        <v>0.1</v>
      </c>
      <c r="X7">
        <v>0.2</v>
      </c>
      <c r="Y7">
        <v>0.1</v>
      </c>
      <c r="Z7">
        <v>0</v>
      </c>
    </row>
    <row r="8" spans="20:26">
      <c r="T8">
        <v>2017</v>
      </c>
      <c r="U8">
        <v>0.1</v>
      </c>
      <c r="V8">
        <v>0.2</v>
      </c>
      <c r="W8">
        <v>0.3</v>
      </c>
      <c r="X8">
        <v>0.2</v>
      </c>
      <c r="Y8">
        <v>0</v>
      </c>
      <c r="Z8">
        <v>0.2</v>
      </c>
    </row>
    <row r="9" spans="20:26">
      <c r="T9">
        <v>2018</v>
      </c>
      <c r="U9">
        <v>0.3</v>
      </c>
      <c r="V9">
        <v>0.3</v>
      </c>
      <c r="W9">
        <v>0.6</v>
      </c>
      <c r="X9">
        <v>0.3</v>
      </c>
      <c r="Y9">
        <v>0</v>
      </c>
      <c r="Z9">
        <v>0.1</v>
      </c>
    </row>
    <row r="10" spans="20:26">
      <c r="T10">
        <v>2019</v>
      </c>
      <c r="U10">
        <v>0.4</v>
      </c>
      <c r="V10">
        <v>0.3</v>
      </c>
      <c r="W10">
        <v>0.5</v>
      </c>
      <c r="X10">
        <v>0.2</v>
      </c>
      <c r="Y10">
        <v>0</v>
      </c>
      <c r="Z10">
        <v>0.2</v>
      </c>
    </row>
    <row r="11" spans="20:26">
      <c r="T11">
        <v>2020</v>
      </c>
      <c r="U11">
        <v>0.9</v>
      </c>
      <c r="V11">
        <v>1.1</v>
      </c>
      <c r="W11">
        <v>0.5</v>
      </c>
      <c r="X11">
        <v>0.7</v>
      </c>
      <c r="Y11">
        <v>0.1</v>
      </c>
      <c r="Z11">
        <v>0.1</v>
      </c>
    </row>
    <row r="12" spans="20:26">
      <c r="T12">
        <v>2021</v>
      </c>
      <c r="U12">
        <v>1.9</v>
      </c>
      <c r="V12">
        <v>2.9</v>
      </c>
      <c r="W12">
        <v>1</v>
      </c>
      <c r="X12">
        <v>0.1</v>
      </c>
      <c r="Y12">
        <v>0</v>
      </c>
      <c r="Z12">
        <v>0.5</v>
      </c>
    </row>
    <row r="40" spans="25:25">
      <c r="Y40" s="19">
        <v>6268</v>
      </c>
    </row>
    <row r="49" spans="23:27">
      <c r="Y49" s="19" t="s">
        <v>251</v>
      </c>
    </row>
    <row r="50" spans="23:27">
      <c r="W50" t="s">
        <v>233</v>
      </c>
      <c r="X50" t="s">
        <v>252</v>
      </c>
      <c r="Y50" s="19">
        <v>814.7</v>
      </c>
      <c r="Z50" s="26">
        <f>Y50/Y$60</f>
        <v>0.196644943277818</v>
      </c>
      <c r="AA50" s="26">
        <f>Z50+Z51+Z52</f>
        <v>0.435047067342505</v>
      </c>
    </row>
    <row r="51" spans="23:27">
      <c r="W51" t="s">
        <v>233</v>
      </c>
      <c r="X51" t="s">
        <v>253</v>
      </c>
      <c r="Y51" s="19">
        <v>630.1</v>
      </c>
      <c r="Z51" s="26">
        <f t="shared" ref="Z51:Z59" si="0">Y51/Y$60</f>
        <v>0.152087859039343</v>
      </c>
    </row>
    <row r="52" spans="23:27">
      <c r="W52" t="s">
        <v>233</v>
      </c>
      <c r="X52" t="s">
        <v>254</v>
      </c>
      <c r="Y52" s="19">
        <v>357.6</v>
      </c>
      <c r="Z52" s="26">
        <f t="shared" si="0"/>
        <v>0.086314265025344</v>
      </c>
    </row>
    <row r="53" spans="23:27">
      <c r="W53" t="s">
        <v>234</v>
      </c>
      <c r="X53" t="s">
        <v>252</v>
      </c>
      <c r="Y53" s="19">
        <v>537.5</v>
      </c>
      <c r="Z53" s="26">
        <f t="shared" si="0"/>
        <v>0.129736905623944</v>
      </c>
      <c r="AA53" s="26">
        <f>Z53+Z54+Z55+Z56+Z57</f>
        <v>0.364035722906107</v>
      </c>
    </row>
    <row r="54" spans="23:27">
      <c r="W54" t="s">
        <v>234</v>
      </c>
      <c r="X54" t="s">
        <v>253</v>
      </c>
      <c r="Y54" s="19">
        <v>526.6</v>
      </c>
      <c r="Z54" s="26">
        <f t="shared" si="0"/>
        <v>0.127105961863384</v>
      </c>
    </row>
    <row r="55" spans="23:27">
      <c r="W55" t="s">
        <v>234</v>
      </c>
      <c r="X55" t="s">
        <v>255</v>
      </c>
      <c r="Y55" s="19">
        <v>263.3</v>
      </c>
      <c r="Z55" s="26">
        <f t="shared" si="0"/>
        <v>0.063552980931692</v>
      </c>
    </row>
    <row r="56" spans="23:27">
      <c r="W56" t="s">
        <v>234</v>
      </c>
      <c r="X56" t="s">
        <v>252</v>
      </c>
      <c r="Y56" s="19">
        <v>129.7</v>
      </c>
      <c r="Z56" s="26">
        <f t="shared" si="0"/>
        <v>0.0313058170407917</v>
      </c>
    </row>
    <row r="57" spans="23:27">
      <c r="W57" t="s">
        <v>234</v>
      </c>
      <c r="X57" t="s">
        <v>256</v>
      </c>
      <c r="Y57" s="19">
        <v>51.1</v>
      </c>
      <c r="Z57" s="26">
        <f t="shared" si="0"/>
        <v>0.012334057446295</v>
      </c>
    </row>
    <row r="58" spans="23:27">
      <c r="W58" t="s">
        <v>237</v>
      </c>
      <c r="X58" t="s">
        <v>257</v>
      </c>
      <c r="Y58" s="19">
        <v>689.6</v>
      </c>
      <c r="Z58" s="26">
        <f t="shared" si="0"/>
        <v>0.16644943277818</v>
      </c>
      <c r="AA58" s="26">
        <f>Z58+Z59</f>
        <v>0.200917209751388</v>
      </c>
    </row>
    <row r="59" spans="23:27">
      <c r="W59" t="s">
        <v>237</v>
      </c>
      <c r="X59" t="s">
        <v>256</v>
      </c>
      <c r="Y59" s="19">
        <v>142.8</v>
      </c>
      <c r="Z59" s="26">
        <f t="shared" si="0"/>
        <v>0.0344677769732078</v>
      </c>
    </row>
    <row r="60" spans="23:27">
      <c r="W60" t="s">
        <v>258</v>
      </c>
      <c r="Y60" s="19">
        <f>SUM(Y50:Y59)</f>
        <v>4143</v>
      </c>
    </row>
    <row r="61" spans="23:27">
      <c r="W61" s="27" t="s">
        <v>259</v>
      </c>
      <c r="X61" s="27"/>
      <c r="Y61" s="27"/>
    </row>
    <row r="79" ht="16.1" spans="13:13">
      <c r="M79" s="28" t="s">
        <v>260</v>
      </c>
    </row>
    <row r="80" ht="16.1" spans="13:13">
      <c r="M80" s="28" t="s">
        <v>261</v>
      </c>
    </row>
    <row r="81" spans="13:13">
      <c r="M81" s="29" t="s">
        <v>262</v>
      </c>
    </row>
  </sheetData>
  <mergeCells count="1">
    <mergeCell ref="W61:Y61"/>
  </mergeCells>
  <hyperlinks>
    <hyperlink ref="M81" r:id="rId2" location=":~:text=%E6%88%AA%E8%87%B32021%E5%B9%B4%E5%BA%95%EF%BC%8C%E5%85%A8%E5%9B%BD%E5%82%A8%E8%83%BD%E8%A3%85%E6%9C%BA%E8%A7%84%E6%A8%A1%E8%BE%BE%E5%88%B04266%E4%B8%87%E5%8D%83%E7%93%A6%EF%BC%8C%E5%85%B6%E4%B8%AD%E6%96%B0%E5%9E%8B%E5%82%A8%E8%83%BD%E8%A3%85%E6%9C%BA626.8%E4%B8%87%E5%8D%83%E7%93%A6%EF%BC%8C%E5%90%8C%E6%AF%94%E5%A2%9E%E9%95%BF56.4%25%3B%E6%96%B0%E5%9E%8B%E5%82%A8%E8%83%BD%E4%B8%AD90%25%E4%B8%BA%E7%94%B5%E5%8C%96%E5%AD%A6%E5%82%A8%E8%83%BD%E3%80%82,%E6%88%AA%E8%87%B32021%E5%B9%B4%E5%BA%95%EF%BC%8C%E7%94%B5%E6%BA%90%E4%BE%A7%E3%80%81%E7%94%A8%E6%88%B7%E4%BE%A7%E3%80%81%E7%94%B5%E7%BD%91%E4%BE%A7%E5%82%A8%E8%83%BD%E8%A3%85%E6%9C%BA%E5%8D%A0%E6%AF%94%E5%88%86%E5%88%AB%E4%B8%BA49.7%25%E3%80%8127.4%25%E5%92%8C22.9%25%EF%BC%8C%E7%94%B5%E6%BA%90%E4%BE%A7%E5%82%A8%E8%83%BD%E6%8E%A5%E8%BF%91%E8%A3%85%E6%9C%BA%E7%9A%84%E4%B8%80%E5%8D%8A%E3%80%82" display="新能源配储能的现状、挑战及发展建议_电力网 (chinapower.com.cn)"/>
  </hyperlink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AR11"/>
  <sheetViews>
    <sheetView workbookViewId="0">
      <selection activeCell="K17" sqref="K17"/>
    </sheetView>
  </sheetViews>
  <sheetFormatPr defaultColWidth="9.02654867256637" defaultRowHeight="13.85"/>
  <cols>
    <col min="7" max="7" width="9.53097345132743"/>
    <col min="9" max="9" width="12.7964601769912"/>
    <col min="10" max="10" width="11.6637168141593"/>
    <col min="11" max="11" width="12.7964601769912"/>
    <col min="13" max="13" width="12.7964601769912"/>
    <col min="15" max="23" width="12.7964601769912"/>
    <col min="24" max="24" width="9.53097345132743"/>
    <col min="25" max="25" width="12.7964601769912"/>
    <col min="26" max="26" width="11.6637168141593"/>
    <col min="27" max="33" width="12.7964601769912"/>
    <col min="34" max="34" width="9.53097345132743"/>
    <col min="35" max="35" width="11.6637168141593"/>
    <col min="36" max="38" width="12.7964601769912"/>
    <col min="39" max="39" width="11.6637168141593"/>
    <col min="40" max="43" width="12.7964601769912"/>
    <col min="44" max="44" width="9.53097345132743"/>
  </cols>
  <sheetData>
    <row r="1" spans="1:44">
      <c r="B1">
        <v>2018</v>
      </c>
      <c r="C1">
        <v>2019</v>
      </c>
      <c r="D1" s="4">
        <v>2020</v>
      </c>
      <c r="E1" s="4">
        <v>2021</v>
      </c>
      <c r="F1" s="4">
        <v>2022</v>
      </c>
      <c r="G1" s="4">
        <v>2023</v>
      </c>
      <c r="H1" s="4">
        <v>2024</v>
      </c>
      <c r="I1" s="4">
        <v>2025</v>
      </c>
      <c r="J1" s="4">
        <v>2026</v>
      </c>
      <c r="K1" s="4">
        <v>2027</v>
      </c>
      <c r="L1" s="4">
        <v>2028</v>
      </c>
      <c r="M1" s="4">
        <v>2029</v>
      </c>
      <c r="N1" s="4">
        <v>2030</v>
      </c>
      <c r="O1" s="4">
        <v>2031</v>
      </c>
      <c r="P1" s="4">
        <v>2032</v>
      </c>
      <c r="Q1" s="4">
        <v>2033</v>
      </c>
      <c r="R1" s="4">
        <v>2034</v>
      </c>
      <c r="S1" s="4">
        <v>2035</v>
      </c>
      <c r="T1" s="4">
        <v>2036</v>
      </c>
      <c r="U1" s="4">
        <v>2037</v>
      </c>
      <c r="V1" s="4">
        <v>2038</v>
      </c>
      <c r="W1" s="4">
        <v>2039</v>
      </c>
      <c r="X1" s="4">
        <v>2040</v>
      </c>
      <c r="Y1" s="4">
        <v>2041</v>
      </c>
      <c r="Z1" s="4">
        <v>2042</v>
      </c>
      <c r="AA1" s="4">
        <v>2043</v>
      </c>
      <c r="AB1" s="4">
        <v>2044</v>
      </c>
      <c r="AC1" s="4">
        <v>2045</v>
      </c>
      <c r="AD1" s="4">
        <v>2046</v>
      </c>
      <c r="AE1" s="4">
        <v>2047</v>
      </c>
      <c r="AF1" s="4">
        <v>2048</v>
      </c>
      <c r="AG1" s="4">
        <v>2049</v>
      </c>
      <c r="AH1" s="4">
        <v>2050</v>
      </c>
      <c r="AI1" s="4">
        <v>2051</v>
      </c>
      <c r="AJ1" s="4">
        <v>2052</v>
      </c>
      <c r="AK1" s="4">
        <v>2053</v>
      </c>
      <c r="AL1" s="4">
        <v>2054</v>
      </c>
      <c r="AM1" s="4">
        <v>2055</v>
      </c>
      <c r="AN1" s="4">
        <v>2056</v>
      </c>
      <c r="AO1" s="4">
        <v>2057</v>
      </c>
      <c r="AP1" s="4">
        <v>2058</v>
      </c>
      <c r="AQ1" s="4">
        <v>2059</v>
      </c>
      <c r="AR1" s="4">
        <v>2060</v>
      </c>
    </row>
    <row r="2" spans="1:44">
      <c r="A2" t="s">
        <v>236</v>
      </c>
      <c r="B2" s="20">
        <f>CNESA!H43</f>
        <v>1072.7</v>
      </c>
      <c r="C2" s="20">
        <f>CNESA!I43</f>
        <v>1709.6</v>
      </c>
      <c r="D2" s="21">
        <f>CNESA!J42</f>
        <v>2726.7</v>
      </c>
      <c r="E2">
        <f>D2+($H$2-$D$2)/($H$1-$D$1)</f>
        <v>5927.5</v>
      </c>
      <c r="F2">
        <f>E2+($H$2-$D$2)/($H$1-$D$1)</f>
        <v>9128.3</v>
      </c>
      <c r="G2">
        <f>F2+($H$2-$D$2)/($H$1-$D$1)</f>
        <v>12329.1</v>
      </c>
      <c r="H2" s="21">
        <f>CNESA!N42</f>
        <v>15529.9</v>
      </c>
      <c r="I2" cm="1">
        <f t="array" ref="I2">FORECAST(I1,$D$2:$H$2,$D$1:$H$1)</f>
        <v>18730.7000000002</v>
      </c>
      <c r="J2" cm="1">
        <f t="array" ref="J2">FORECAST(J1,$D$2:$H$2,$D$1:$H$1)</f>
        <v>21931.5000000009</v>
      </c>
      <c r="K2" cm="1">
        <f t="array" ref="K2">FORECAST(K1,$D$2:$H$2,$D$1:$H$1)</f>
        <v>25132.3000000007</v>
      </c>
      <c r="L2" cm="1">
        <f t="array" ref="L2">FORECAST(L1,$D$2:$H$2,$D$1:$H$1)</f>
        <v>28333.1000000006</v>
      </c>
      <c r="M2" cm="1">
        <f t="array" ref="M2">FORECAST(M1,$D$2:$H$2,$D$1:$H$1)</f>
        <v>31533.9000000004</v>
      </c>
      <c r="N2" cm="1">
        <f t="array" ref="N2">FORECAST(N1,$D$2:$H$2,$D$1:$H$1)</f>
        <v>34734.7000000002</v>
      </c>
      <c r="O2" cm="1">
        <f t="array" ref="O2">FORECAST(O1,$D$2:$H$2,$D$1:$H$1)</f>
        <v>37935.5000000009</v>
      </c>
      <c r="P2" cm="1">
        <f t="array" ref="P2">FORECAST(P1,$D$2:$H$2,$D$1:$H$1)</f>
        <v>41136.3000000007</v>
      </c>
      <c r="Q2" cm="1">
        <f t="array" ref="Q2">FORECAST(Q1,$D$2:$H$2,$D$1:$H$1)</f>
        <v>44337.1000000006</v>
      </c>
      <c r="R2" cm="1">
        <f t="array" ref="R2">FORECAST(R1,$D$2:$H$2,$D$1:$H$1)</f>
        <v>47537.9000000004</v>
      </c>
      <c r="S2" cm="1">
        <f t="array" ref="S2">FORECAST(S1,$D$2:$H$2,$D$1:$H$1)</f>
        <v>50738.7000000002</v>
      </c>
      <c r="T2" cm="1">
        <f t="array" ref="T2">FORECAST(T1,$D$2:$H$2,$D$1:$H$1)</f>
        <v>53939.5000000009</v>
      </c>
      <c r="U2" cm="1">
        <f t="array" ref="U2">FORECAST(U1,$D$2:$H$2,$D$1:$H$1)</f>
        <v>57140.3000000007</v>
      </c>
      <c r="V2" cm="1">
        <f t="array" ref="V2">FORECAST(V1,$D$2:$H$2,$D$1:$H$1)</f>
        <v>60341.1000000006</v>
      </c>
      <c r="W2" cm="1">
        <f t="array" ref="W2">FORECAST(W1,$D$2:$H$2,$D$1:$H$1)</f>
        <v>63541.9000000004</v>
      </c>
      <c r="X2" cm="1">
        <f t="array" ref="X2">FORECAST(X1,$D$2:$H$2,$D$1:$H$1)</f>
        <v>66742.7000000002</v>
      </c>
      <c r="Y2" cm="1">
        <f t="array" ref="Y2">FORECAST(Y1,$D$2:$H$2,$D$1:$H$1)</f>
        <v>69943.5000000009</v>
      </c>
      <c r="Z2" cm="1">
        <f t="array" ref="Z2">FORECAST(Z1,$D$2:$H$2,$D$1:$H$1)</f>
        <v>73144.3000000007</v>
      </c>
      <c r="AA2" cm="1">
        <f t="array" ref="AA2">FORECAST(AA1,$D$2:$H$2,$D$1:$H$1)</f>
        <v>76345.1000000006</v>
      </c>
      <c r="AB2" cm="1">
        <f t="array" ref="AB2">FORECAST(AB1,$D$2:$H$2,$D$1:$H$1)</f>
        <v>79545.9000000004</v>
      </c>
      <c r="AC2" cm="1">
        <f t="array" ref="AC2">FORECAST(AC1,$D$2:$H$2,$D$1:$H$1)</f>
        <v>82746.7000000002</v>
      </c>
      <c r="AD2" cm="1">
        <f t="array" ref="AD2">FORECAST(AD1,$D$2:$H$2,$D$1:$H$1)</f>
        <v>85947.5000000009</v>
      </c>
      <c r="AE2" cm="1">
        <f t="array" ref="AE2">FORECAST(AE1,$D$2:$H$2,$D$1:$H$1)</f>
        <v>89148.3000000007</v>
      </c>
      <c r="AF2" cm="1">
        <f t="array" ref="AF2">FORECAST(AF1,$D$2:$H$2,$D$1:$H$1)</f>
        <v>92349.1000000006</v>
      </c>
      <c r="AG2" cm="1">
        <f t="array" ref="AG2">FORECAST(AG1,$D$2:$H$2,$D$1:$H$1)</f>
        <v>95549.9000000004</v>
      </c>
      <c r="AH2" cm="1">
        <f t="array" ref="AH2">FORECAST(AH1,$D$2:$H$2,$D$1:$H$1)</f>
        <v>98750.7000000002</v>
      </c>
      <c r="AI2" cm="1">
        <f t="array" ref="AI2">FORECAST(AI1,$D$2:$H$2,$D$1:$H$1)</f>
        <v>101951.500000001</v>
      </c>
      <c r="AJ2" cm="1">
        <f t="array" ref="AJ2">FORECAST(AJ1,$D$2:$H$2,$D$1:$H$1)</f>
        <v>105152.300000001</v>
      </c>
      <c r="AK2" cm="1">
        <f t="array" ref="AK2">FORECAST(AK1,$D$2:$H$2,$D$1:$H$1)</f>
        <v>108353.100000001</v>
      </c>
      <c r="AL2" cm="1">
        <f t="array" ref="AL2">FORECAST(AL1,$D$2:$H$2,$D$1:$H$1)</f>
        <v>111553.9</v>
      </c>
      <c r="AM2" cm="1">
        <f t="array" ref="AM2">FORECAST(AM1,$D$2:$H$2,$D$1:$H$1)</f>
        <v>114754.7</v>
      </c>
      <c r="AN2" cm="1">
        <f t="array" ref="AN2">FORECAST(AN1,$D$2:$H$2,$D$1:$H$1)</f>
        <v>117955.500000001</v>
      </c>
      <c r="AO2" cm="1">
        <f t="array" ref="AO2">FORECAST(AO1,$D$2:$H$2,$D$1:$H$1)</f>
        <v>121156.300000001</v>
      </c>
      <c r="AP2" cm="1">
        <f t="array" ref="AP2">FORECAST(AP1,$D$2:$H$2,$D$1:$H$1)</f>
        <v>124357.100000001</v>
      </c>
      <c r="AQ2" cm="1">
        <f t="array" ref="AQ2">FORECAST(AQ1,$D$2:$H$2,$D$1:$H$1)</f>
        <v>127557.9</v>
      </c>
      <c r="AR2" cm="1">
        <f t="array" ref="AR2">FORECAST(AR1,$D$2:$H$2,$D$1:$H$1)</f>
        <v>130758.7</v>
      </c>
    </row>
    <row r="3" spans="1:44">
      <c r="B3" s="22"/>
      <c r="C3" s="22"/>
      <c r="D3" s="22"/>
      <c r="E3" s="23"/>
      <c r="F3" s="23"/>
      <c r="G3" s="23"/>
      <c r="H3" s="22"/>
    </row>
    <row r="4" spans="1:44">
      <c r="D4" s="24" t="s">
        <v>263</v>
      </c>
      <c r="E4" s="25"/>
      <c r="F4" s="25"/>
      <c r="G4" s="25"/>
      <c r="H4" s="25"/>
      <c r="I4" s="25"/>
      <c r="J4" s="25"/>
    </row>
    <row r="8" spans="1:44">
      <c r="B8">
        <v>2018</v>
      </c>
      <c r="C8">
        <v>2019</v>
      </c>
      <c r="D8" s="4">
        <v>2020</v>
      </c>
      <c r="E8" s="4">
        <v>2021</v>
      </c>
      <c r="F8" s="4">
        <v>2022</v>
      </c>
      <c r="G8" s="4">
        <v>2023</v>
      </c>
      <c r="H8" s="4">
        <v>2024</v>
      </c>
      <c r="I8" s="4">
        <v>2025</v>
      </c>
      <c r="J8" s="4">
        <v>2026</v>
      </c>
      <c r="K8" s="4">
        <v>2027</v>
      </c>
      <c r="L8" s="4">
        <v>2028</v>
      </c>
      <c r="M8" s="4">
        <v>2029</v>
      </c>
      <c r="N8" s="4">
        <v>2030</v>
      </c>
      <c r="O8" s="4">
        <v>2031</v>
      </c>
      <c r="P8" s="4">
        <v>2032</v>
      </c>
      <c r="Q8" s="4">
        <v>2033</v>
      </c>
      <c r="R8" s="4">
        <v>2034</v>
      </c>
      <c r="S8" s="4">
        <v>2035</v>
      </c>
      <c r="T8" s="4">
        <v>2036</v>
      </c>
      <c r="U8" s="4">
        <v>2037</v>
      </c>
      <c r="V8" s="4">
        <v>2038</v>
      </c>
      <c r="W8" s="4">
        <v>2039</v>
      </c>
      <c r="X8" s="4">
        <v>2040</v>
      </c>
      <c r="Y8" s="4">
        <v>2041</v>
      </c>
      <c r="Z8" s="4">
        <v>2042</v>
      </c>
      <c r="AA8" s="4">
        <v>2043</v>
      </c>
      <c r="AB8" s="4">
        <v>2044</v>
      </c>
      <c r="AC8" s="4">
        <v>2045</v>
      </c>
      <c r="AD8" s="4">
        <v>2046</v>
      </c>
      <c r="AE8" s="4">
        <v>2047</v>
      </c>
      <c r="AF8" s="4">
        <v>2048</v>
      </c>
      <c r="AG8" s="4">
        <v>2049</v>
      </c>
      <c r="AH8" s="4">
        <v>2050</v>
      </c>
      <c r="AI8" s="4">
        <v>2051</v>
      </c>
      <c r="AJ8" s="4">
        <v>2052</v>
      </c>
      <c r="AK8" s="4">
        <v>2053</v>
      </c>
      <c r="AL8" s="4">
        <v>2054</v>
      </c>
      <c r="AM8" s="4">
        <v>2055</v>
      </c>
      <c r="AN8" s="4">
        <v>2056</v>
      </c>
      <c r="AO8" s="4">
        <v>2057</v>
      </c>
      <c r="AP8" s="4">
        <v>2058</v>
      </c>
      <c r="AQ8" s="4">
        <v>2059</v>
      </c>
      <c r="AR8" s="4">
        <v>2060</v>
      </c>
    </row>
    <row r="9" spans="1:44">
      <c r="A9" t="s">
        <v>264</v>
      </c>
      <c r="B9" s="20">
        <f>CNESA!H38*2</f>
        <v>2145.4</v>
      </c>
      <c r="C9" s="20">
        <f>CNESA!I38*2</f>
        <v>3419.2</v>
      </c>
      <c r="D9" s="20">
        <f>CNESA!J38*2</f>
        <v>6538.4</v>
      </c>
      <c r="E9" s="20">
        <f>CNESA!K38*2</f>
        <v>11459.4</v>
      </c>
      <c r="F9">
        <f>'CN LT Forecast'!D28</f>
        <v>19615.2</v>
      </c>
      <c r="G9">
        <f>'CN LT Forecast'!E28</f>
        <v>51763.65</v>
      </c>
      <c r="H9">
        <f>'CN LT Forecast'!F28</f>
        <v>75710</v>
      </c>
      <c r="I9">
        <f>'CN LT Forecast'!G28</f>
        <v>98949.559143541</v>
      </c>
      <c r="J9">
        <f>'CN LT Forecast'!H28</f>
        <v>129322.615964881</v>
      </c>
      <c r="K9">
        <f>'CN LT Forecast'!I28</f>
        <v>169018.832875636</v>
      </c>
      <c r="L9">
        <f>'CN LT Forecast'!J28</f>
        <v>220900</v>
      </c>
      <c r="M9">
        <f>'CN LT Forecast'!K28</f>
        <v>263309.084537545</v>
      </c>
      <c r="N9">
        <f>'CN LT Forecast'!L28</f>
        <v>313860</v>
      </c>
      <c r="O9">
        <f>'CN LT Forecast'!M28</f>
        <v>331269.11245362</v>
      </c>
      <c r="P9">
        <f>'CN LT Forecast'!N28</f>
        <v>349643.86945074</v>
      </c>
      <c r="Q9">
        <f>'CN LT Forecast'!O28</f>
        <v>369037.833135144</v>
      </c>
      <c r="R9">
        <f>'CN LT Forecast'!P28</f>
        <v>389507.536622973</v>
      </c>
      <c r="S9">
        <f>'CN LT Forecast'!Q28</f>
        <v>411112.648795923</v>
      </c>
      <c r="T9">
        <f>'CN LT Forecast'!R28</f>
        <v>433916.148235144</v>
      </c>
      <c r="U9">
        <f>'CN LT Forecast'!S28</f>
        <v>457984.506802873</v>
      </c>
      <c r="V9">
        <f>'CN LT Forecast'!T28</f>
        <v>483387.883406923</v>
      </c>
      <c r="W9">
        <f>'CN LT Forecast'!U28</f>
        <v>510200.328512858</v>
      </c>
      <c r="X9">
        <f>'CN LT Forecast'!V28</f>
        <v>538500</v>
      </c>
      <c r="Y9">
        <f>'CN LT Forecast'!W28</f>
        <v>572741.202902248</v>
      </c>
      <c r="Z9">
        <f>'CN LT Forecast'!X28</f>
        <v>609159.675955273</v>
      </c>
      <c r="AA9">
        <f>'CN LT Forecast'!Y28</f>
        <v>647893.863632621</v>
      </c>
      <c r="AB9">
        <f>'CN LT Forecast'!Z28</f>
        <v>689091.01357462</v>
      </c>
      <c r="AC9">
        <f>'CN LT Forecast'!AA28</f>
        <v>732907.736348853</v>
      </c>
      <c r="AD9">
        <f>'CN LT Forecast'!AB28</f>
        <v>779510.600803725</v>
      </c>
      <c r="AE9">
        <f>'CN LT Forecast'!AC28</f>
        <v>829076.767278328</v>
      </c>
      <c r="AF9">
        <f>'CN LT Forecast'!AD28</f>
        <v>881794.66107576</v>
      </c>
      <c r="AG9">
        <f>'CN LT Forecast'!AE28</f>
        <v>937864.688760095</v>
      </c>
      <c r="AH9">
        <f>'CN LT Forecast'!AF28</f>
        <v>997500</v>
      </c>
      <c r="AI9">
        <f>'CN LT Forecast'!AG28</f>
        <v>1045403.78043856</v>
      </c>
      <c r="AJ9">
        <f>'CN LT Forecast'!AH28</f>
        <v>1095608.08436616</v>
      </c>
      <c r="AK9">
        <f>'CN LT Forecast'!AI28</f>
        <v>1148223.39175482</v>
      </c>
      <c r="AL9">
        <f>'CN LT Forecast'!AJ28</f>
        <v>1203365.48824911</v>
      </c>
      <c r="AM9">
        <f>'CN LT Forecast'!AK28</f>
        <v>1261155.71996483</v>
      </c>
      <c r="AN9">
        <f>'CN LT Forecast'!AL28</f>
        <v>1321721.26052426</v>
      </c>
      <c r="AO9">
        <f>'CN LT Forecast'!AM28</f>
        <v>1385195.39091538</v>
      </c>
      <c r="AP9">
        <f>'CN LT Forecast'!AN28</f>
        <v>1451717.79279099</v>
      </c>
      <c r="AQ9">
        <f>'CN LT Forecast'!AO28</f>
        <v>1521434.85585326</v>
      </c>
      <c r="AR9">
        <f>'CN LT Forecast'!AP28</f>
        <v>1594500</v>
      </c>
    </row>
    <row r="10" spans="1:44">
      <c r="B10" s="22"/>
      <c r="C10" s="22"/>
      <c r="D10" s="22"/>
      <c r="E10" s="22"/>
    </row>
    <row r="11" spans="1:44">
      <c r="F11" s="24" t="s">
        <v>265</v>
      </c>
      <c r="G11" s="25"/>
      <c r="H11" s="25"/>
      <c r="I11" s="2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workbookViewId="0">
      <selection activeCell="L8" sqref="L8"/>
    </sheetView>
  </sheetViews>
  <sheetFormatPr defaultColWidth="9" defaultRowHeight="13.85"/>
  <sheetData>
    <row r="1" ht="16.9" customHeight="1" spans="2:14">
      <c r="B1">
        <v>2021</v>
      </c>
      <c r="M1" s="16"/>
    </row>
    <row r="2" spans="2:14">
      <c r="M2" t="s">
        <v>266</v>
      </c>
    </row>
    <row r="3" spans="2:14">
      <c r="M3" t="s">
        <v>267</v>
      </c>
    </row>
    <row r="4" ht="16.5" spans="2:14">
      <c r="M4" s="17" t="s">
        <v>268</v>
      </c>
    </row>
    <row r="5" ht="16.5" spans="2:14">
      <c r="M5" s="18" t="s">
        <v>269</v>
      </c>
    </row>
    <row r="6" ht="16.5" spans="2:14">
      <c r="M6" s="17" t="s">
        <v>270</v>
      </c>
    </row>
    <row r="7" ht="16.5" spans="2:14">
      <c r="M7" s="18" t="s">
        <v>271</v>
      </c>
    </row>
    <row r="9" spans="2:14">
      <c r="M9">
        <v>2022</v>
      </c>
      <c r="N9" t="s">
        <v>272</v>
      </c>
    </row>
    <row r="10" spans="2:14">
      <c r="N10">
        <f>6900*0.65</f>
        <v>4485</v>
      </c>
    </row>
    <row r="68" spans="10:24">
      <c r="K68">
        <v>2021</v>
      </c>
      <c r="L68">
        <v>2022</v>
      </c>
      <c r="M68">
        <v>2023</v>
      </c>
      <c r="N68">
        <v>2024</v>
      </c>
      <c r="O68">
        <v>2025</v>
      </c>
      <c r="Q68" t="s">
        <v>273</v>
      </c>
      <c r="R68">
        <v>2021</v>
      </c>
      <c r="S68">
        <v>2022</v>
      </c>
      <c r="T68">
        <v>2023</v>
      </c>
      <c r="U68">
        <v>2024</v>
      </c>
      <c r="V68">
        <v>2025</v>
      </c>
    </row>
    <row r="69" spans="10:24">
      <c r="J69" t="s">
        <v>274</v>
      </c>
      <c r="K69">
        <v>495</v>
      </c>
      <c r="L69">
        <v>788</v>
      </c>
      <c r="M69">
        <v>1936</v>
      </c>
      <c r="N69">
        <v>4367</v>
      </c>
      <c r="O69">
        <v>6077</v>
      </c>
      <c r="Q69" t="s">
        <v>258</v>
      </c>
      <c r="R69" s="19">
        <v>3896.43463497453</v>
      </c>
      <c r="S69" s="19">
        <v>7869.26994906621</v>
      </c>
      <c r="T69" s="19">
        <v>15662.1392190152</v>
      </c>
      <c r="U69" s="19">
        <v>27351.4431239388</v>
      </c>
      <c r="V69" s="19">
        <v>40568.7606112054</v>
      </c>
    </row>
    <row r="70" spans="10:24">
      <c r="J70" t="s">
        <v>275</v>
      </c>
      <c r="K70">
        <v>260</v>
      </c>
      <c r="L70">
        <v>402</v>
      </c>
      <c r="M70">
        <v>1142</v>
      </c>
      <c r="N70">
        <v>2686</v>
      </c>
      <c r="O70">
        <v>3829</v>
      </c>
      <c r="P70">
        <f>SUM(K70:O70)</f>
        <v>8319</v>
      </c>
      <c r="Q70" t="s">
        <v>233</v>
      </c>
      <c r="R70" s="19">
        <v>2750.42444821731</v>
      </c>
      <c r="S70" s="19">
        <v>6112.05432937181</v>
      </c>
      <c r="T70" s="19">
        <v>12071.3073005093</v>
      </c>
      <c r="U70" s="19">
        <v>19864.1765704584</v>
      </c>
      <c r="V70" s="19">
        <v>27962.648556876</v>
      </c>
    </row>
    <row r="71" spans="10:24">
      <c r="J71" t="s">
        <v>276</v>
      </c>
      <c r="K71">
        <v>122</v>
      </c>
      <c r="L71">
        <v>205</v>
      </c>
      <c r="M71">
        <v>501</v>
      </c>
      <c r="N71">
        <v>1163</v>
      </c>
      <c r="O71">
        <v>1493</v>
      </c>
      <c r="P71">
        <f>SUM(K71:O71)</f>
        <v>3484</v>
      </c>
      <c r="Q71" t="s">
        <v>234</v>
      </c>
      <c r="R71" s="19">
        <v>534.80475382003</v>
      </c>
      <c r="S71" s="19">
        <v>916.80814940577</v>
      </c>
      <c r="T71" s="19">
        <v>2215.6196943973</v>
      </c>
      <c r="U71" s="19">
        <v>4354.8387096774</v>
      </c>
      <c r="V71" s="19">
        <v>5882.8522920204</v>
      </c>
    </row>
    <row r="72" spans="10:24">
      <c r="J72" t="s">
        <v>277</v>
      </c>
      <c r="K72">
        <v>113</v>
      </c>
      <c r="L72">
        <v>181</v>
      </c>
      <c r="M72">
        <v>293</v>
      </c>
      <c r="N72">
        <v>518</v>
      </c>
      <c r="O72">
        <v>755</v>
      </c>
      <c r="P72">
        <f>SUM(K72:O72)</f>
        <v>1860</v>
      </c>
      <c r="Q72" t="s">
        <v>237</v>
      </c>
      <c r="R72" s="19">
        <v>611.20543293719</v>
      </c>
      <c r="S72" s="19">
        <v>840.40747028863</v>
      </c>
      <c r="T72" s="19">
        <v>1375.2122241086</v>
      </c>
      <c r="U72" s="19">
        <v>3132.427843803</v>
      </c>
      <c r="V72" s="19">
        <v>6723.259762309</v>
      </c>
      <c r="W72" s="19">
        <f>SUM(R72:V72)</f>
        <v>12682.5127334464</v>
      </c>
    </row>
    <row r="74" spans="10:24">
      <c r="J74" t="s">
        <v>278</v>
      </c>
      <c r="Q74" t="s">
        <v>278</v>
      </c>
      <c r="R74">
        <v>2021</v>
      </c>
      <c r="S74">
        <v>2022</v>
      </c>
      <c r="T74">
        <v>2023</v>
      </c>
      <c r="U74">
        <v>2024</v>
      </c>
      <c r="V74">
        <v>2025</v>
      </c>
      <c r="W74" t="s">
        <v>279</v>
      </c>
    </row>
    <row r="75" spans="10:24">
      <c r="J75" t="s">
        <v>275</v>
      </c>
      <c r="K75">
        <f>K70/2</f>
        <v>130</v>
      </c>
      <c r="L75">
        <f t="shared" ref="L75:N77" si="0">L70/2</f>
        <v>201</v>
      </c>
      <c r="M75">
        <f t="shared" si="0"/>
        <v>571</v>
      </c>
      <c r="N75">
        <f t="shared" si="0"/>
        <v>1343</v>
      </c>
      <c r="O75">
        <f>O70/2</f>
        <v>1914.5</v>
      </c>
      <c r="P75" s="6">
        <f>SUM(K75:O75)</f>
        <v>4159.5</v>
      </c>
      <c r="Q75" s="6" t="s">
        <v>233</v>
      </c>
      <c r="R75" s="6">
        <f>R70/2</f>
        <v>1375.21222410865</v>
      </c>
      <c r="S75" s="6">
        <f>S70/2.1</f>
        <v>2910.50206160562</v>
      </c>
      <c r="T75" s="6">
        <f>T70/2.2</f>
        <v>5486.95786386786</v>
      </c>
      <c r="U75" s="6">
        <f>U70/2.2</f>
        <v>9029.17116839018</v>
      </c>
      <c r="V75" s="6">
        <f>V70/2.2</f>
        <v>12710.29479858</v>
      </c>
      <c r="W75" s="6">
        <f>SUM(R75:V75)</f>
        <v>31512.1381165523</v>
      </c>
      <c r="X75" s="6"/>
    </row>
    <row r="76" spans="10:24">
      <c r="J76" t="s">
        <v>276</v>
      </c>
      <c r="K76">
        <f>K71/2</f>
        <v>61</v>
      </c>
      <c r="L76">
        <f t="shared" si="0"/>
        <v>102.5</v>
      </c>
      <c r="M76">
        <f t="shared" si="0"/>
        <v>250.5</v>
      </c>
      <c r="N76">
        <f t="shared" si="0"/>
        <v>581.5</v>
      </c>
      <c r="O76">
        <f>O71/2</f>
        <v>746.5</v>
      </c>
      <c r="P76" s="6">
        <f>SUM(K76:O76)</f>
        <v>1742</v>
      </c>
      <c r="Q76" s="6" t="s">
        <v>234</v>
      </c>
      <c r="R76" s="6">
        <f>R71/2</f>
        <v>267.402376910015</v>
      </c>
      <c r="S76" s="6">
        <f t="shared" ref="S76:V76" si="1">S71/2</f>
        <v>458.404074702885</v>
      </c>
      <c r="T76" s="6">
        <f t="shared" si="1"/>
        <v>1107.80984719865</v>
      </c>
      <c r="U76" s="6">
        <f t="shared" si="1"/>
        <v>2177.4193548387</v>
      </c>
      <c r="V76" s="6">
        <f t="shared" si="1"/>
        <v>2941.4261460102</v>
      </c>
      <c r="W76" s="6">
        <f>SUM(R76:V76)</f>
        <v>6952.46179966045</v>
      </c>
      <c r="X76" s="6"/>
    </row>
    <row r="77" spans="10:24">
      <c r="J77" t="s">
        <v>277</v>
      </c>
      <c r="K77">
        <f>K72/2</f>
        <v>56.5</v>
      </c>
      <c r="L77">
        <f t="shared" si="0"/>
        <v>90.5</v>
      </c>
      <c r="M77">
        <f t="shared" si="0"/>
        <v>146.5</v>
      </c>
      <c r="N77">
        <f t="shared" si="0"/>
        <v>259</v>
      </c>
      <c r="O77">
        <f>O72/2</f>
        <v>377.5</v>
      </c>
      <c r="P77" s="6">
        <f>SUM(K77:O77)</f>
        <v>930</v>
      </c>
      <c r="Q77" s="6" t="s">
        <v>237</v>
      </c>
      <c r="R77" s="6">
        <f t="shared" ref="R77:V77" si="2">R72*($W77/$W72)</f>
        <v>287.527714881319</v>
      </c>
      <c r="S77" s="6">
        <f t="shared" si="2"/>
        <v>395.35060796181</v>
      </c>
      <c r="T77" s="6">
        <f t="shared" si="2"/>
        <v>646.93735848293</v>
      </c>
      <c r="U77" s="6">
        <f t="shared" si="2"/>
        <v>1473.57953876671</v>
      </c>
      <c r="V77" s="6">
        <f t="shared" si="2"/>
        <v>3162.80486369446</v>
      </c>
      <c r="W77" s="6">
        <f>W79-W75-W76-Q84</f>
        <v>5966.20008378723</v>
      </c>
      <c r="X77" s="6"/>
    </row>
    <row r="78" spans="10:24">
      <c r="P78" s="6"/>
      <c r="Q78" s="6" t="s">
        <v>258</v>
      </c>
      <c r="R78" s="6">
        <f>SUM(R75:R77)</f>
        <v>1930.14231589999</v>
      </c>
      <c r="S78" s="6">
        <f t="shared" ref="S78:V78" si="3">SUM(S75:S77)</f>
        <v>3764.25674427032</v>
      </c>
      <c r="T78" s="6">
        <f t="shared" si="3"/>
        <v>7241.70506954944</v>
      </c>
      <c r="U78" s="6">
        <f t="shared" si="3"/>
        <v>12680.1700619956</v>
      </c>
      <c r="V78" s="6">
        <f t="shared" si="3"/>
        <v>18814.5258082847</v>
      </c>
      <c r="W78" s="6"/>
      <c r="X78" s="6"/>
    </row>
    <row r="79" spans="10:24">
      <c r="P79" s="6"/>
      <c r="Q79" s="6"/>
      <c r="R79" s="6"/>
      <c r="S79" s="6"/>
      <c r="T79" s="6"/>
      <c r="U79" s="6"/>
      <c r="V79" s="6"/>
      <c r="W79" s="6">
        <f>47700</f>
        <v>47700</v>
      </c>
      <c r="X79" s="6"/>
    </row>
    <row r="80" spans="10:24">
      <c r="P80" s="6"/>
      <c r="Q80" s="6"/>
      <c r="R80" s="6"/>
      <c r="S80" s="6"/>
      <c r="T80" s="6"/>
      <c r="U80" s="6"/>
      <c r="V80" s="6"/>
      <c r="W80" s="6"/>
      <c r="X80" s="6"/>
    </row>
    <row r="81" spans="15:24">
      <c r="P81" s="6"/>
      <c r="Q81" s="6"/>
      <c r="R81" s="6"/>
      <c r="S81" s="6"/>
      <c r="T81" s="6"/>
      <c r="U81" s="6"/>
      <c r="V81" s="6"/>
      <c r="W81" s="6"/>
      <c r="X81" s="6"/>
    </row>
    <row r="82" spans="15:24">
      <c r="P82" s="6" t="s">
        <v>280</v>
      </c>
      <c r="Q82" s="6"/>
      <c r="R82" s="6"/>
      <c r="S82" s="6"/>
      <c r="T82" s="6"/>
      <c r="U82" s="6"/>
      <c r="V82" s="6"/>
      <c r="W82" s="6"/>
      <c r="X82" s="6"/>
    </row>
    <row r="83" spans="15:24">
      <c r="P83" s="6">
        <v>2019</v>
      </c>
      <c r="Q83" s="6">
        <v>2020</v>
      </c>
      <c r="R83" s="6">
        <v>2021</v>
      </c>
      <c r="S83" s="6">
        <v>2022</v>
      </c>
      <c r="T83" s="6">
        <v>2023</v>
      </c>
      <c r="U83" s="6">
        <v>2024</v>
      </c>
      <c r="V83" s="6">
        <v>2025</v>
      </c>
      <c r="W83" s="6"/>
      <c r="X83" s="6"/>
    </row>
    <row r="84" spans="15:24">
      <c r="O84" t="s">
        <v>258</v>
      </c>
      <c r="P84" s="6">
        <f>CNESA!I8</f>
        <v>1709.6</v>
      </c>
      <c r="Q84" s="6">
        <f>CNESA!J8</f>
        <v>3269.2</v>
      </c>
      <c r="R84" s="6">
        <f>Q84+R78</f>
        <v>5199.34231589999</v>
      </c>
      <c r="S84" s="6">
        <f t="shared" ref="S84:V84" si="4">R84+S78</f>
        <v>8963.59906017031</v>
      </c>
      <c r="T84" s="6">
        <f t="shared" si="4"/>
        <v>16205.3041297198</v>
      </c>
      <c r="U84" s="6">
        <f t="shared" si="4"/>
        <v>28885.4741917153</v>
      </c>
      <c r="V84" s="6">
        <f t="shared" si="4"/>
        <v>47700</v>
      </c>
      <c r="W84" s="6"/>
      <c r="X84" s="6"/>
    </row>
    <row r="85" spans="15:24">
      <c r="O85" s="6" t="s">
        <v>233</v>
      </c>
      <c r="P85" s="6"/>
      <c r="Q85" s="6">
        <f>CNESA!J48</f>
        <v>0</v>
      </c>
      <c r="R85" s="6">
        <f>Q85+R75</f>
        <v>1375.21222410865</v>
      </c>
      <c r="S85" s="6">
        <f t="shared" ref="S85:V85" si="5">R85+S75</f>
        <v>4285.71428571428</v>
      </c>
      <c r="T85" s="6">
        <f t="shared" si="5"/>
        <v>9772.67214958214</v>
      </c>
      <c r="U85" s="6">
        <f t="shared" si="5"/>
        <v>18801.8433179723</v>
      </c>
      <c r="V85" s="6">
        <f t="shared" si="5"/>
        <v>31512.1381165523</v>
      </c>
      <c r="W85" s="6"/>
      <c r="X85" s="6"/>
    </row>
    <row r="86" spans="15:24">
      <c r="O86" s="6" t="s">
        <v>234</v>
      </c>
      <c r="P86" s="6"/>
      <c r="Q86" s="6">
        <f>CNESA!J49</f>
        <v>673</v>
      </c>
      <c r="R86" s="6">
        <f t="shared" ref="R86:V87" si="6">Q86+R76</f>
        <v>940.402376910015</v>
      </c>
      <c r="S86" s="6">
        <f t="shared" si="6"/>
        <v>1398.8064516129</v>
      </c>
      <c r="T86" s="6">
        <f t="shared" si="6"/>
        <v>2506.61629881155</v>
      </c>
      <c r="U86" s="6">
        <f t="shared" si="6"/>
        <v>4684.03565365025</v>
      </c>
      <c r="V86" s="6">
        <f t="shared" si="6"/>
        <v>7625.46179966045</v>
      </c>
      <c r="W86" s="6"/>
      <c r="X86" s="6"/>
    </row>
    <row r="87" spans="15:24">
      <c r="O87" s="6" t="s">
        <v>237</v>
      </c>
      <c r="P87" s="6"/>
      <c r="Q87" s="6">
        <f>CNESA!J50</f>
        <v>0</v>
      </c>
      <c r="R87" s="6">
        <f t="shared" si="6"/>
        <v>287.527714881319</v>
      </c>
      <c r="S87" s="6">
        <f t="shared" si="6"/>
        <v>682.878322843129</v>
      </c>
      <c r="T87" s="6">
        <f t="shared" si="6"/>
        <v>1329.81568132606</v>
      </c>
      <c r="U87" s="6">
        <f t="shared" si="6"/>
        <v>2803.39522009277</v>
      </c>
      <c r="V87" s="6">
        <f t="shared" si="6"/>
        <v>5966.20008378723</v>
      </c>
      <c r="W87" s="6"/>
      <c r="X87" s="6"/>
    </row>
  </sheetData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P39"/>
  <sheetViews>
    <sheetView tabSelected="1" workbookViewId="0">
      <selection activeCell="I28" sqref="I28"/>
    </sheetView>
  </sheetViews>
  <sheetFormatPr defaultColWidth="9" defaultRowHeight="13.85"/>
  <cols>
    <col min="1" max="1" width="22.1238938053097" customWidth="1"/>
    <col min="2" max="3" width="12.6637168141593" customWidth="1"/>
    <col min="4" max="41" width="12.6637168141593"/>
    <col min="42" max="42" width="12.1681415929204"/>
  </cols>
  <sheetData>
    <row r="2" spans="1:6">
      <c r="B2">
        <v>2025</v>
      </c>
      <c r="C2">
        <v>2030</v>
      </c>
      <c r="D2">
        <v>2040</v>
      </c>
      <c r="E2">
        <v>2050</v>
      </c>
      <c r="F2">
        <v>2060</v>
      </c>
    </row>
    <row r="3" spans="1:6">
      <c r="A3" t="s">
        <v>209</v>
      </c>
      <c r="B3">
        <v>67000</v>
      </c>
      <c r="C3">
        <v>145000</v>
      </c>
      <c r="D3">
        <v>234000</v>
      </c>
      <c r="E3">
        <v>323000</v>
      </c>
      <c r="F3">
        <v>412000</v>
      </c>
    </row>
    <row r="4" spans="1:6">
      <c r="A4" t="s">
        <v>281</v>
      </c>
      <c r="B4">
        <v>24000</v>
      </c>
      <c r="C4">
        <v>10000</v>
      </c>
      <c r="D4">
        <v>42000</v>
      </c>
      <c r="E4">
        <v>82000</v>
      </c>
      <c r="F4">
        <v>134000</v>
      </c>
    </row>
    <row r="5" spans="1:6">
      <c r="A5" t="s">
        <v>214</v>
      </c>
      <c r="B5">
        <v>33000</v>
      </c>
      <c r="C5">
        <v>92000</v>
      </c>
      <c r="D5">
        <v>359000</v>
      </c>
      <c r="E5">
        <v>665000</v>
      </c>
      <c r="F5">
        <v>1063000</v>
      </c>
    </row>
    <row r="6" spans="1:6">
      <c r="A6" t="s">
        <v>282</v>
      </c>
    </row>
    <row r="7" spans="1:6">
      <c r="A7" t="s">
        <v>283</v>
      </c>
      <c r="B7">
        <f>B5*1.5</f>
        <v>49500</v>
      </c>
      <c r="C7">
        <f t="shared" ref="C7:F7" si="0">C5*1.5</f>
        <v>138000</v>
      </c>
      <c r="D7">
        <f t="shared" si="0"/>
        <v>538500</v>
      </c>
      <c r="E7">
        <f t="shared" si="0"/>
        <v>997500</v>
      </c>
      <c r="F7">
        <f t="shared" si="0"/>
        <v>1594500</v>
      </c>
    </row>
    <row r="24" spans="1:42">
      <c r="A24" t="s">
        <v>284</v>
      </c>
    </row>
    <row r="26" spans="1:42">
      <c r="B26">
        <v>2020</v>
      </c>
      <c r="C26">
        <v>2021</v>
      </c>
      <c r="D26">
        <v>2022</v>
      </c>
      <c r="E26">
        <v>2023</v>
      </c>
      <c r="F26">
        <v>2024</v>
      </c>
      <c r="G26">
        <v>2025</v>
      </c>
      <c r="H26">
        <v>2026</v>
      </c>
      <c r="I26">
        <v>2027</v>
      </c>
      <c r="J26">
        <v>2028</v>
      </c>
      <c r="K26">
        <v>2029</v>
      </c>
      <c r="L26">
        <v>2030</v>
      </c>
      <c r="M26">
        <v>2031</v>
      </c>
      <c r="N26">
        <v>2032</v>
      </c>
      <c r="O26">
        <v>2033</v>
      </c>
      <c r="P26">
        <v>2034</v>
      </c>
      <c r="Q26">
        <v>2035</v>
      </c>
      <c r="R26">
        <v>2036</v>
      </c>
      <c r="S26">
        <v>2037</v>
      </c>
      <c r="T26">
        <v>2038</v>
      </c>
      <c r="U26">
        <v>2039</v>
      </c>
      <c r="V26">
        <v>2040</v>
      </c>
      <c r="W26">
        <v>2041</v>
      </c>
      <c r="X26">
        <v>2042</v>
      </c>
      <c r="Y26">
        <v>2043</v>
      </c>
      <c r="Z26">
        <v>2044</v>
      </c>
      <c r="AA26">
        <v>2045</v>
      </c>
      <c r="AB26">
        <v>2046</v>
      </c>
      <c r="AC26">
        <v>2047</v>
      </c>
      <c r="AD26">
        <v>2048</v>
      </c>
      <c r="AE26">
        <v>2049</v>
      </c>
      <c r="AF26">
        <v>2050</v>
      </c>
      <c r="AG26">
        <v>2051</v>
      </c>
      <c r="AH26">
        <v>2052</v>
      </c>
      <c r="AI26">
        <v>2053</v>
      </c>
      <c r="AJ26">
        <v>2054</v>
      </c>
      <c r="AK26">
        <v>2055</v>
      </c>
      <c r="AL26">
        <v>2056</v>
      </c>
      <c r="AM26">
        <v>2057</v>
      </c>
      <c r="AN26">
        <v>2058</v>
      </c>
      <c r="AO26">
        <v>2059</v>
      </c>
      <c r="AP26">
        <v>2060</v>
      </c>
    </row>
    <row r="27" spans="1:42">
      <c r="A27" t="s">
        <v>285</v>
      </c>
      <c r="B27" s="7">
        <f>CNESA!J38</f>
        <v>3269.2</v>
      </c>
      <c r="C27" s="7">
        <f>CNESA!K38</f>
        <v>5729.7</v>
      </c>
      <c r="D27" s="7">
        <f>CNESA!L38</f>
        <v>9531.7</v>
      </c>
      <c r="E27" s="7">
        <f>CNESA!M38</f>
        <v>15260</v>
      </c>
      <c r="F27" s="7">
        <f>CNESA!N38</f>
        <v>23750</v>
      </c>
      <c r="G27" s="7">
        <f>CNESA!O38</f>
        <v>35440</v>
      </c>
      <c r="H27" s="7">
        <f>CNESA!P38</f>
        <v>48510.3</v>
      </c>
      <c r="I27" s="6">
        <f>($AF$27-$H$27)/($AF$26-$H$26)+H27</f>
        <v>55239.0375</v>
      </c>
      <c r="J27" s="6">
        <f t="shared" ref="J27:AE27" si="1">($AF$27-$H$27)/($AF$26-$H$26)+I27</f>
        <v>61967.775</v>
      </c>
      <c r="K27" s="6">
        <f t="shared" si="1"/>
        <v>68696.5125</v>
      </c>
      <c r="L27" s="6">
        <f t="shared" si="1"/>
        <v>75425.25</v>
      </c>
      <c r="M27" s="6">
        <f t="shared" si="1"/>
        <v>82153.9875</v>
      </c>
      <c r="N27" s="6">
        <f t="shared" si="1"/>
        <v>88882.725</v>
      </c>
      <c r="O27" s="6">
        <f t="shared" si="1"/>
        <v>95611.4625</v>
      </c>
      <c r="P27" s="6">
        <f t="shared" si="1"/>
        <v>102340.2</v>
      </c>
      <c r="Q27" s="6">
        <f t="shared" si="1"/>
        <v>109068.9375</v>
      </c>
      <c r="R27" s="6">
        <f t="shared" si="1"/>
        <v>115797.675</v>
      </c>
      <c r="S27" s="6">
        <f t="shared" si="1"/>
        <v>122526.4125</v>
      </c>
      <c r="T27" s="6">
        <f t="shared" si="1"/>
        <v>129255.15</v>
      </c>
      <c r="U27" s="6">
        <f t="shared" si="1"/>
        <v>135983.8875</v>
      </c>
      <c r="V27" s="6">
        <f t="shared" si="1"/>
        <v>142712.625</v>
      </c>
      <c r="W27" s="6">
        <f t="shared" si="1"/>
        <v>149441.3625</v>
      </c>
      <c r="X27" s="6">
        <f t="shared" si="1"/>
        <v>156170.1</v>
      </c>
      <c r="Y27" s="6">
        <f t="shared" si="1"/>
        <v>162898.8375</v>
      </c>
      <c r="Z27" s="6">
        <f t="shared" si="1"/>
        <v>169627.575</v>
      </c>
      <c r="AA27" s="6">
        <f t="shared" si="1"/>
        <v>176356.3125</v>
      </c>
      <c r="AB27" s="6">
        <f t="shared" si="1"/>
        <v>183085.05</v>
      </c>
      <c r="AC27" s="6">
        <f t="shared" si="1"/>
        <v>189813.7875</v>
      </c>
      <c r="AD27" s="6">
        <f t="shared" si="1"/>
        <v>196542.525</v>
      </c>
      <c r="AE27" s="6">
        <f t="shared" si="1"/>
        <v>203271.2625</v>
      </c>
      <c r="AF27" s="8">
        <f>CNESA!Q49</f>
        <v>210000</v>
      </c>
      <c r="AG27" s="6">
        <f t="shared" ref="AG27:AP27" si="2">($AF$27-$F$27)/26+AF27</f>
        <v>217163.461538462</v>
      </c>
      <c r="AH27" s="6">
        <f t="shared" si="2"/>
        <v>224326.923076923</v>
      </c>
      <c r="AI27" s="6">
        <f t="shared" si="2"/>
        <v>231490.384615385</v>
      </c>
      <c r="AJ27" s="6">
        <f t="shared" si="2"/>
        <v>238653.846153846</v>
      </c>
      <c r="AK27" s="6">
        <f t="shared" si="2"/>
        <v>245817.307692308</v>
      </c>
      <c r="AL27" s="6">
        <f t="shared" si="2"/>
        <v>252980.769230769</v>
      </c>
      <c r="AM27" s="6">
        <f t="shared" si="2"/>
        <v>260144.230769231</v>
      </c>
      <c r="AN27" s="6">
        <f t="shared" si="2"/>
        <v>267307.692307692</v>
      </c>
      <c r="AO27" s="6">
        <f t="shared" si="2"/>
        <v>274471.153846154</v>
      </c>
      <c r="AP27" s="6">
        <f t="shared" si="2"/>
        <v>281634.615384615</v>
      </c>
    </row>
    <row r="28" s="6" customFormat="1" spans="1:42">
      <c r="A28" s="6" t="s">
        <v>286</v>
      </c>
      <c r="B28" s="7">
        <f>MAX(CNESA!J34:J44)*1.5</f>
        <v>4903.8</v>
      </c>
      <c r="C28" s="7">
        <f>MAX(CNESA!K34:K44)*1.5</f>
        <v>9922.2</v>
      </c>
      <c r="D28" s="7">
        <f>MAX(CNESA!L34:L44)*1.5</f>
        <v>19615.2</v>
      </c>
      <c r="E28" s="7">
        <f>MAX(CNESA!M34:M44)*1.5</f>
        <v>51763.65</v>
      </c>
      <c r="F28" s="7">
        <f>MAX(CNESA!N34:N44)</f>
        <v>75710</v>
      </c>
      <c r="G28" s="6">
        <f>($J28/$F28)^0.25*F28</f>
        <v>98949.559143541</v>
      </c>
      <c r="H28" s="6">
        <f t="shared" ref="H28:I28" si="3">($J28/$F28)^0.25*G28</f>
        <v>129322.615964881</v>
      </c>
      <c r="I28" s="6">
        <f t="shared" si="3"/>
        <v>169018.832875636</v>
      </c>
      <c r="J28" s="6">
        <f>MAX(CNESA!R34:R44)</f>
        <v>220900</v>
      </c>
      <c r="K28" s="6">
        <f>(L28/J28)^0.5*J28</f>
        <v>263309.084537545</v>
      </c>
      <c r="L28" s="7">
        <f>MAX(CNESA!T34:T44)</f>
        <v>313860</v>
      </c>
      <c r="M28" s="6">
        <f>($V28/$L28)^0.1*L28</f>
        <v>331269.11245362</v>
      </c>
      <c r="N28" s="6">
        <f t="shared" ref="N28:U28" si="4">($V28/$L28)^0.1*M28</f>
        <v>349643.86945074</v>
      </c>
      <c r="O28" s="6">
        <f t="shared" si="4"/>
        <v>369037.833135144</v>
      </c>
      <c r="P28" s="6">
        <f t="shared" si="4"/>
        <v>389507.536622973</v>
      </c>
      <c r="Q28" s="6">
        <f t="shared" si="4"/>
        <v>411112.648795923</v>
      </c>
      <c r="R28" s="6">
        <f t="shared" si="4"/>
        <v>433916.148235144</v>
      </c>
      <c r="S28" s="6">
        <f t="shared" si="4"/>
        <v>457984.506802873</v>
      </c>
      <c r="T28" s="6">
        <f t="shared" si="4"/>
        <v>483387.883406923</v>
      </c>
      <c r="U28" s="6">
        <f t="shared" si="4"/>
        <v>510200.328512858</v>
      </c>
      <c r="V28" s="7">
        <f>$D$7</f>
        <v>538500</v>
      </c>
      <c r="W28" s="6">
        <f>($AF28/$V28)^0.1*V28</f>
        <v>572741.202902248</v>
      </c>
      <c r="X28" s="6">
        <f t="shared" ref="X28:AE28" si="5">($AF28/$V28)^0.1*W28</f>
        <v>609159.675955273</v>
      </c>
      <c r="Y28" s="6">
        <f t="shared" si="5"/>
        <v>647893.863632621</v>
      </c>
      <c r="Z28" s="6">
        <f t="shared" si="5"/>
        <v>689091.01357462</v>
      </c>
      <c r="AA28" s="6">
        <f t="shared" si="5"/>
        <v>732907.736348853</v>
      </c>
      <c r="AB28" s="6">
        <f t="shared" si="5"/>
        <v>779510.600803725</v>
      </c>
      <c r="AC28" s="6">
        <f t="shared" si="5"/>
        <v>829076.767278328</v>
      </c>
      <c r="AD28" s="6">
        <f t="shared" si="5"/>
        <v>881794.66107576</v>
      </c>
      <c r="AE28" s="6">
        <f t="shared" si="5"/>
        <v>937864.688760095</v>
      </c>
      <c r="AF28" s="7">
        <f>$E$7</f>
        <v>997500</v>
      </c>
      <c r="AG28" s="6">
        <f>($AP28/$AF28)^0.1*AF28</f>
        <v>1045403.78043856</v>
      </c>
      <c r="AH28" s="6">
        <f t="shared" ref="AH28:AO28" si="6">($AP28/$AF28)^0.1*AG28</f>
        <v>1095608.08436616</v>
      </c>
      <c r="AI28" s="6">
        <f t="shared" si="6"/>
        <v>1148223.39175482</v>
      </c>
      <c r="AJ28" s="6">
        <f t="shared" si="6"/>
        <v>1203365.48824911</v>
      </c>
      <c r="AK28" s="6">
        <f t="shared" si="6"/>
        <v>1261155.71996483</v>
      </c>
      <c r="AL28" s="6">
        <f t="shared" si="6"/>
        <v>1321721.26052426</v>
      </c>
      <c r="AM28" s="6">
        <f t="shared" si="6"/>
        <v>1385195.39091538</v>
      </c>
      <c r="AN28" s="6">
        <f t="shared" si="6"/>
        <v>1451717.79279099</v>
      </c>
      <c r="AO28" s="6">
        <f t="shared" si="6"/>
        <v>1521434.85585326</v>
      </c>
      <c r="AP28" s="7">
        <f>$F$7</f>
        <v>1594500</v>
      </c>
    </row>
    <row r="29" s="6" customFormat="1" spans="1:42">
      <c r="B29" s="7"/>
      <c r="C29" s="7"/>
      <c r="D29" s="7"/>
      <c r="E29" s="7"/>
      <c r="F29" s="7"/>
      <c r="L29" s="7"/>
      <c r="V29" s="7"/>
      <c r="AF29" s="7"/>
      <c r="AP29" s="7"/>
    </row>
    <row r="30" s="6" customFormat="1" spans="1:42">
      <c r="A30" s="6" t="s">
        <v>287</v>
      </c>
      <c r="B30" s="9">
        <f>B27</f>
        <v>3269.2</v>
      </c>
      <c r="C30" s="9">
        <f>$B$30+($L$30-$B$30)*(C26-$B$26)/($L$26-$B$26)</f>
        <v>12142.28</v>
      </c>
      <c r="D30" s="9">
        <f t="shared" ref="D30:K30" si="7">$B$30+($L$30-$B$30)*(D26-$B$26)/($L$26-$B$26)</f>
        <v>21015.36</v>
      </c>
      <c r="E30" s="9">
        <f t="shared" si="7"/>
        <v>29888.44</v>
      </c>
      <c r="F30" s="9">
        <f t="shared" si="7"/>
        <v>38761.52</v>
      </c>
      <c r="G30" s="9">
        <f t="shared" si="7"/>
        <v>47634.6</v>
      </c>
      <c r="H30" s="9">
        <f t="shared" si="7"/>
        <v>56507.68</v>
      </c>
      <c r="I30" s="9">
        <f t="shared" si="7"/>
        <v>65380.76</v>
      </c>
      <c r="J30" s="9">
        <f t="shared" si="7"/>
        <v>74253.84</v>
      </c>
      <c r="K30" s="9">
        <f t="shared" si="7"/>
        <v>83126.92</v>
      </c>
      <c r="L30" s="10">
        <f>0.92*10^8/1000</f>
        <v>92000</v>
      </c>
      <c r="M30" s="9">
        <f>$L$30+($V$30-$L$30)*(M26-$L$26)/($V$26-$L$26)</f>
        <v>118700</v>
      </c>
      <c r="N30" s="9">
        <f t="shared" ref="N30:U30" si="8">$L$30+($V$30-$L$30)*(N26-$L$26)/($V$26-$L$26)</f>
        <v>145400</v>
      </c>
      <c r="O30" s="9">
        <f t="shared" si="8"/>
        <v>172100</v>
      </c>
      <c r="P30" s="9">
        <f t="shared" si="8"/>
        <v>198800</v>
      </c>
      <c r="Q30" s="9">
        <f t="shared" si="8"/>
        <v>225500</v>
      </c>
      <c r="R30" s="9">
        <f t="shared" si="8"/>
        <v>252200</v>
      </c>
      <c r="S30" s="9">
        <f t="shared" si="8"/>
        <v>278900</v>
      </c>
      <c r="T30" s="9">
        <f t="shared" si="8"/>
        <v>305600</v>
      </c>
      <c r="U30" s="9">
        <f t="shared" si="8"/>
        <v>332300</v>
      </c>
      <c r="V30" s="10">
        <f>3.59*10^8/1000</f>
        <v>359000</v>
      </c>
      <c r="W30" s="9">
        <f>$V$30+($AF$30-$V$30)*(W26-$V$26)/($AF$26-$V$26)</f>
        <v>389600</v>
      </c>
      <c r="X30" s="9">
        <f t="shared" ref="X30:AE30" si="9">$V$30+($AF$30-$V$30)*(X26-$V$26)/($AF$26-$V$26)</f>
        <v>420200</v>
      </c>
      <c r="Y30" s="9">
        <f t="shared" si="9"/>
        <v>450800</v>
      </c>
      <c r="Z30" s="9">
        <f t="shared" si="9"/>
        <v>481400</v>
      </c>
      <c r="AA30" s="9">
        <f t="shared" si="9"/>
        <v>512000</v>
      </c>
      <c r="AB30" s="9">
        <f t="shared" si="9"/>
        <v>542600</v>
      </c>
      <c r="AC30" s="9">
        <f t="shared" si="9"/>
        <v>573200</v>
      </c>
      <c r="AD30" s="9">
        <f t="shared" si="9"/>
        <v>603800</v>
      </c>
      <c r="AE30" s="9">
        <f t="shared" si="9"/>
        <v>634400</v>
      </c>
      <c r="AF30" s="10">
        <f>6.65*10^8/1000</f>
        <v>665000</v>
      </c>
      <c r="AG30" s="9">
        <f>$AF$30+($AP$30-$AF$30)*(AG26-$AF$26)/($AP$26-$AF$26)</f>
        <v>704800</v>
      </c>
      <c r="AH30" s="9">
        <f t="shared" ref="AH30:AO30" si="10">$AF$30+($AP$30-$AF$30)*(AH26-$AF$26)/($AP$26-$AF$26)</f>
        <v>744600</v>
      </c>
      <c r="AI30" s="9">
        <f t="shared" si="10"/>
        <v>784400</v>
      </c>
      <c r="AJ30" s="9">
        <f t="shared" si="10"/>
        <v>824200</v>
      </c>
      <c r="AK30" s="9">
        <f t="shared" si="10"/>
        <v>864000</v>
      </c>
      <c r="AL30" s="9">
        <f t="shared" si="10"/>
        <v>903800</v>
      </c>
      <c r="AM30" s="9">
        <f t="shared" si="10"/>
        <v>943600</v>
      </c>
      <c r="AN30" s="9">
        <f t="shared" si="10"/>
        <v>983400</v>
      </c>
      <c r="AO30" s="9">
        <f t="shared" si="10"/>
        <v>1023200</v>
      </c>
      <c r="AP30" s="10">
        <f>10.63*10^8/1000</f>
        <v>1063000</v>
      </c>
    </row>
    <row r="31" s="6" customFormat="1" spans="1:42">
      <c r="A31" s="6" t="s">
        <v>288</v>
      </c>
      <c r="B31" s="9">
        <f>B30-B27</f>
        <v>0</v>
      </c>
      <c r="C31" s="9">
        <f t="shared" ref="C31:L31" si="11">C30-C27</f>
        <v>6412.58</v>
      </c>
      <c r="D31" s="9">
        <f t="shared" si="11"/>
        <v>11483.66</v>
      </c>
      <c r="E31" s="9">
        <f t="shared" si="11"/>
        <v>14628.44</v>
      </c>
      <c r="F31" s="9">
        <f t="shared" si="11"/>
        <v>15011.52</v>
      </c>
      <c r="G31" s="9">
        <f t="shared" si="11"/>
        <v>12194.6</v>
      </c>
      <c r="H31" s="9">
        <f t="shared" si="11"/>
        <v>7997.38</v>
      </c>
      <c r="I31" s="9">
        <f t="shared" si="11"/>
        <v>10141.7225</v>
      </c>
      <c r="J31" s="9">
        <f t="shared" si="11"/>
        <v>12286.065</v>
      </c>
      <c r="K31" s="9">
        <f t="shared" si="11"/>
        <v>14430.4075</v>
      </c>
      <c r="L31" s="10">
        <f t="shared" si="11"/>
        <v>16574.75</v>
      </c>
      <c r="M31" s="9">
        <f t="shared" ref="M31:V31" si="12">M30-M27</f>
        <v>36546.0125</v>
      </c>
      <c r="N31" s="9">
        <f t="shared" si="12"/>
        <v>56517.275</v>
      </c>
      <c r="O31" s="9">
        <f t="shared" si="12"/>
        <v>76488.5375</v>
      </c>
      <c r="P31" s="9">
        <f t="shared" si="12"/>
        <v>96459.8</v>
      </c>
      <c r="Q31" s="9">
        <f t="shared" si="12"/>
        <v>116431.0625</v>
      </c>
      <c r="R31" s="9">
        <f t="shared" si="12"/>
        <v>136402.325</v>
      </c>
      <c r="S31" s="9">
        <f t="shared" si="12"/>
        <v>156373.5875</v>
      </c>
      <c r="T31" s="9">
        <f t="shared" si="12"/>
        <v>176344.85</v>
      </c>
      <c r="U31" s="9">
        <f t="shared" si="12"/>
        <v>196316.1125</v>
      </c>
      <c r="V31" s="10">
        <f t="shared" si="12"/>
        <v>216287.375</v>
      </c>
      <c r="W31" s="9">
        <f t="shared" ref="W31:AF31" si="13">W30-W27</f>
        <v>240158.6375</v>
      </c>
      <c r="X31" s="9">
        <f t="shared" si="13"/>
        <v>264029.9</v>
      </c>
      <c r="Y31" s="9">
        <f t="shared" si="13"/>
        <v>287901.1625</v>
      </c>
      <c r="Z31" s="9">
        <f t="shared" si="13"/>
        <v>311772.425</v>
      </c>
      <c r="AA31" s="9">
        <f t="shared" si="13"/>
        <v>335643.6875</v>
      </c>
      <c r="AB31" s="9">
        <f t="shared" si="13"/>
        <v>359514.95</v>
      </c>
      <c r="AC31" s="9">
        <f t="shared" si="13"/>
        <v>383386.2125</v>
      </c>
      <c r="AD31" s="9">
        <f t="shared" si="13"/>
        <v>407257.475</v>
      </c>
      <c r="AE31" s="9">
        <f t="shared" si="13"/>
        <v>431128.7375</v>
      </c>
      <c r="AF31" s="10">
        <f t="shared" si="13"/>
        <v>455000</v>
      </c>
      <c r="AG31" s="9">
        <f t="shared" ref="AG31:AP31" si="14">AG30-AG27</f>
        <v>487636.538461538</v>
      </c>
      <c r="AH31" s="9">
        <f t="shared" si="14"/>
        <v>520273.076923077</v>
      </c>
      <c r="AI31" s="9">
        <f t="shared" si="14"/>
        <v>552909.615384615</v>
      </c>
      <c r="AJ31" s="9">
        <f t="shared" si="14"/>
        <v>585546.153846154</v>
      </c>
      <c r="AK31" s="9">
        <f t="shared" si="14"/>
        <v>618182.692307692</v>
      </c>
      <c r="AL31" s="9">
        <f t="shared" si="14"/>
        <v>650819.230769231</v>
      </c>
      <c r="AM31" s="9">
        <f t="shared" si="14"/>
        <v>683455.769230769</v>
      </c>
      <c r="AN31" s="9">
        <f t="shared" si="14"/>
        <v>716092.307692308</v>
      </c>
      <c r="AO31" s="9">
        <f t="shared" si="14"/>
        <v>748728.846153846</v>
      </c>
      <c r="AP31" s="10">
        <f t="shared" si="14"/>
        <v>781365.384615385</v>
      </c>
    </row>
    <row r="32" s="6" customFormat="1" spans="1:42">
      <c r="A32" s="6" t="s">
        <v>289</v>
      </c>
      <c r="B32" s="11">
        <f>B31/B28</f>
        <v>0</v>
      </c>
      <c r="C32" s="11">
        <f t="shared" ref="C32:L32" si="15">C31/C28</f>
        <v>0.646286105903933</v>
      </c>
      <c r="D32" s="11">
        <f t="shared" si="15"/>
        <v>0.585447000285493</v>
      </c>
      <c r="E32" s="11">
        <f t="shared" si="15"/>
        <v>0.282600628046902</v>
      </c>
      <c r="F32" s="11">
        <f t="shared" si="15"/>
        <v>0.198276581693303</v>
      </c>
      <c r="G32" s="11">
        <f t="shared" si="15"/>
        <v>0.123240569291571</v>
      </c>
      <c r="H32" s="11">
        <f t="shared" si="15"/>
        <v>0.0618405368645789</v>
      </c>
      <c r="I32" s="11">
        <f t="shared" si="15"/>
        <v>0.0600035056889919</v>
      </c>
      <c r="J32" s="11">
        <f t="shared" si="15"/>
        <v>0.0556182209144409</v>
      </c>
      <c r="K32" s="11">
        <f t="shared" si="15"/>
        <v>0.0548040624019654</v>
      </c>
      <c r="L32" s="12">
        <f t="shared" si="15"/>
        <v>0.0528093736060663</v>
      </c>
      <c r="M32" s="11">
        <f t="shared" ref="M32:V32" si="16">M31/M28</f>
        <v>0.110321219594889</v>
      </c>
      <c r="N32" s="11">
        <f t="shared" si="16"/>
        <v>0.161642402278592</v>
      </c>
      <c r="O32" s="11">
        <f t="shared" si="16"/>
        <v>0.207264758873623</v>
      </c>
      <c r="P32" s="11">
        <f t="shared" si="16"/>
        <v>0.247645529111723</v>
      </c>
      <c r="Q32" s="11">
        <f t="shared" si="16"/>
        <v>0.283209633274496</v>
      </c>
      <c r="R32" s="11">
        <f t="shared" si="16"/>
        <v>0.314351806345041</v>
      </c>
      <c r="S32" s="11">
        <f t="shared" si="16"/>
        <v>0.34143859710806</v>
      </c>
      <c r="T32" s="11">
        <f t="shared" si="16"/>
        <v>0.364810240499037</v>
      </c>
      <c r="U32" s="11">
        <f t="shared" si="16"/>
        <v>0.384782411003588</v>
      </c>
      <c r="V32" s="12">
        <f t="shared" si="16"/>
        <v>0.401647864438254</v>
      </c>
      <c r="W32" s="11">
        <f t="shared" ref="W32:AF32" si="17">W31/W28</f>
        <v>0.419314406372451</v>
      </c>
      <c r="X32" s="11">
        <f t="shared" si="17"/>
        <v>0.433432990432194</v>
      </c>
      <c r="Y32" s="11">
        <f t="shared" si="17"/>
        <v>0.444364700239313</v>
      </c>
      <c r="Z32" s="11">
        <f t="shared" si="17"/>
        <v>0.452440125989597</v>
      </c>
      <c r="AA32" s="11">
        <f t="shared" si="17"/>
        <v>0.457961719945932</v>
      </c>
      <c r="AB32" s="11">
        <f t="shared" si="17"/>
        <v>0.461205979276378</v>
      </c>
      <c r="AC32" s="11">
        <f t="shared" si="17"/>
        <v>0.462425468462433</v>
      </c>
      <c r="AD32" s="11">
        <f t="shared" si="17"/>
        <v>0.461850692658038</v>
      </c>
      <c r="AE32" s="11">
        <f t="shared" si="17"/>
        <v>0.459691832592582</v>
      </c>
      <c r="AF32" s="12">
        <f t="shared" si="17"/>
        <v>0.456140350877193</v>
      </c>
      <c r="AG32" s="11">
        <f t="shared" ref="AG32:AP32" si="18">AG31/AG28</f>
        <v>0.466457600006924</v>
      </c>
      <c r="AH32" s="11">
        <f t="shared" si="18"/>
        <v>0.474871520525581</v>
      </c>
      <c r="AI32" s="11">
        <f t="shared" si="18"/>
        <v>0.481534881935828</v>
      </c>
      <c r="AJ32" s="11">
        <f t="shared" si="18"/>
        <v>0.486590449505181</v>
      </c>
      <c r="AK32" s="11">
        <f t="shared" si="18"/>
        <v>0.490171580338178</v>
      </c>
      <c r="AL32" s="11">
        <f t="shared" si="18"/>
        <v>0.492402785827235</v>
      </c>
      <c r="AM32" s="11">
        <f t="shared" si="18"/>
        <v>0.493400262311819</v>
      </c>
      <c r="AN32" s="11">
        <f t="shared" si="18"/>
        <v>0.493272391678545</v>
      </c>
      <c r="AO32" s="11">
        <f t="shared" si="18"/>
        <v>0.492120213542722</v>
      </c>
      <c r="AP32" s="12">
        <f t="shared" si="18"/>
        <v>0.490037870564682</v>
      </c>
    </row>
    <row r="33" s="6" customFormat="1" spans="1:42">
      <c r="A33" s="6" t="s">
        <v>290</v>
      </c>
      <c r="B33" s="13">
        <f>MAX(B32:AP32)</f>
        <v>0.646286105903933</v>
      </c>
      <c r="C33" s="7"/>
      <c r="D33" s="7"/>
      <c r="E33" s="7"/>
      <c r="F33" s="7"/>
      <c r="L33" s="7"/>
      <c r="V33" s="7"/>
      <c r="AF33" s="7"/>
      <c r="AP33" s="7"/>
    </row>
    <row r="34" spans="1:42">
      <c r="A34" s="14" t="s">
        <v>291</v>
      </c>
      <c r="B34" s="15">
        <f t="shared" ref="B34:AP34" si="19">B32/$B$33</f>
        <v>0</v>
      </c>
      <c r="C34" s="15">
        <f t="shared" si="19"/>
        <v>1</v>
      </c>
      <c r="D34" s="15">
        <f t="shared" si="19"/>
        <v>0.90586350988724</v>
      </c>
      <c r="E34" s="15">
        <f t="shared" si="19"/>
        <v>0.437268611324454</v>
      </c>
      <c r="F34" s="15">
        <f t="shared" si="19"/>
        <v>0.306793817601853</v>
      </c>
      <c r="G34" s="15">
        <f t="shared" si="19"/>
        <v>0.190690420489854</v>
      </c>
      <c r="H34" s="15">
        <f t="shared" si="19"/>
        <v>0.0956860070171014</v>
      </c>
      <c r="I34" s="15">
        <f t="shared" si="19"/>
        <v>0.0928435643917604</v>
      </c>
      <c r="J34" s="15">
        <f t="shared" si="19"/>
        <v>0.0860582030255007</v>
      </c>
      <c r="K34" s="15">
        <f t="shared" si="19"/>
        <v>0.0847984536590235</v>
      </c>
      <c r="L34" s="15">
        <f t="shared" si="19"/>
        <v>0.0817120670298243</v>
      </c>
      <c r="M34" s="15">
        <f t="shared" si="19"/>
        <v>0.170700280552354</v>
      </c>
      <c r="N34" s="15">
        <f t="shared" si="19"/>
        <v>0.25010966629479</v>
      </c>
      <c r="O34" s="15">
        <f t="shared" si="19"/>
        <v>0.32070124513002</v>
      </c>
      <c r="P34" s="15">
        <f t="shared" si="19"/>
        <v>0.383182505162093</v>
      </c>
      <c r="Q34" s="15">
        <f t="shared" si="19"/>
        <v>0.438210926534437</v>
      </c>
      <c r="R34" s="15">
        <f t="shared" si="19"/>
        <v>0.486397283607652</v>
      </c>
      <c r="S34" s="15">
        <f t="shared" si="19"/>
        <v>0.52830873817178</v>
      </c>
      <c r="T34" s="15">
        <f t="shared" si="19"/>
        <v>0.564471736536548</v>
      </c>
      <c r="U34" s="15">
        <f t="shared" si="19"/>
        <v>0.595374722570291</v>
      </c>
      <c r="V34" s="15">
        <f t="shared" si="19"/>
        <v>0.621470678031189</v>
      </c>
      <c r="W34" s="15">
        <f t="shared" si="19"/>
        <v>0.648806159597032</v>
      </c>
      <c r="X34" s="15">
        <f t="shared" si="19"/>
        <v>0.670651877663329</v>
      </c>
      <c r="Y34" s="15">
        <f t="shared" si="19"/>
        <v>0.687566537760856</v>
      </c>
      <c r="Z34" s="15">
        <f t="shared" si="19"/>
        <v>0.700061662871103</v>
      </c>
      <c r="AA34" s="15">
        <f t="shared" si="19"/>
        <v>0.708605238086312</v>
      </c>
      <c r="AB34" s="15">
        <f t="shared" si="19"/>
        <v>0.713625088119927</v>
      </c>
      <c r="AC34" s="15">
        <f t="shared" si="19"/>
        <v>0.715512006583613</v>
      </c>
      <c r="AD34" s="15">
        <f t="shared" si="19"/>
        <v>0.714622654640033</v>
      </c>
      <c r="AE34" s="15">
        <f t="shared" si="19"/>
        <v>0.711282245422298</v>
      </c>
      <c r="AF34" s="15">
        <f t="shared" si="19"/>
        <v>0.70578702947545</v>
      </c>
      <c r="AG34" s="15">
        <f t="shared" si="19"/>
        <v>0.721750933132795</v>
      </c>
      <c r="AH34" s="15">
        <f t="shared" si="19"/>
        <v>0.734769811988142</v>
      </c>
      <c r="AI34" s="15">
        <f t="shared" si="19"/>
        <v>0.745080046649503</v>
      </c>
      <c r="AJ34" s="15">
        <f t="shared" si="19"/>
        <v>0.752902538148499</v>
      </c>
      <c r="AK34" s="15">
        <f t="shared" si="19"/>
        <v>0.758443630244218</v>
      </c>
      <c r="AL34" s="15">
        <f t="shared" si="19"/>
        <v>0.761895979704735</v>
      </c>
      <c r="AM34" s="15">
        <f t="shared" si="19"/>
        <v>0.763439377397292</v>
      </c>
      <c r="AN34" s="15">
        <f t="shared" si="19"/>
        <v>0.763241522867996</v>
      </c>
      <c r="AO34" s="15">
        <f t="shared" si="19"/>
        <v>0.761458754949426</v>
      </c>
      <c r="AP34" s="15">
        <f t="shared" si="19"/>
        <v>0.758236740799628</v>
      </c>
    </row>
    <row r="36" spans="1:42">
      <c r="D36">
        <v>13077</v>
      </c>
      <c r="E36">
        <v>34509</v>
      </c>
      <c r="F36">
        <v>78315</v>
      </c>
    </row>
    <row r="39" spans="1:42">
      <c r="A39" t="s">
        <v>292</v>
      </c>
      <c r="D39">
        <f>D36</f>
        <v>13077</v>
      </c>
      <c r="E39">
        <f>E36</f>
        <v>34509</v>
      </c>
      <c r="F39">
        <f>F36</f>
        <v>78315</v>
      </c>
      <c r="G39">
        <f>F39+($L$39-$F$39)/($L$26-$F$26)</f>
        <v>102125.833333333</v>
      </c>
      <c r="H39">
        <f>G39+($L$39-$F$39)/($L$26-$F$26)</f>
        <v>125936.666666667</v>
      </c>
      <c r="I39">
        <f>H39+($L$39-$F$39)/($L$26-$F$26)</f>
        <v>149747.5</v>
      </c>
      <c r="J39">
        <f>I39+($L$39-$F$39)/($L$26-$F$26)</f>
        <v>173558.333333333</v>
      </c>
      <c r="K39">
        <f>J39+($L$39-$F$39)/($L$26-$F$26)</f>
        <v>197369.166666667</v>
      </c>
      <c r="L39">
        <f>CNESA!T34</f>
        <v>221180</v>
      </c>
      <c r="M39">
        <f>L39+($V$39-$L$39)/($V$26-$L$26)</f>
        <v>234962</v>
      </c>
      <c r="N39">
        <f t="shared" ref="N39:U39" si="20">M39+($V$39-$L$39)/($V$26-$L$26)</f>
        <v>248744</v>
      </c>
      <c r="O39">
        <f t="shared" si="20"/>
        <v>262526</v>
      </c>
      <c r="P39">
        <f t="shared" si="20"/>
        <v>276308</v>
      </c>
      <c r="Q39">
        <f t="shared" si="20"/>
        <v>290090</v>
      </c>
      <c r="R39">
        <f t="shared" si="20"/>
        <v>303872</v>
      </c>
      <c r="S39">
        <f t="shared" si="20"/>
        <v>317654</v>
      </c>
      <c r="T39">
        <f t="shared" si="20"/>
        <v>331436</v>
      </c>
      <c r="U39">
        <f t="shared" si="20"/>
        <v>345218</v>
      </c>
      <c r="V39">
        <f>V30</f>
        <v>359000</v>
      </c>
      <c r="W39">
        <f>V39+($AF$39-$V$39)/($AF$26-$V$26)</f>
        <v>389600</v>
      </c>
      <c r="X39">
        <f t="shared" ref="X39:AE39" si="21">W39+($AF$39-$V$39)/($AF$26-$V$26)</f>
        <v>420200</v>
      </c>
      <c r="Y39">
        <f t="shared" si="21"/>
        <v>450800</v>
      </c>
      <c r="Z39">
        <f t="shared" si="21"/>
        <v>481400</v>
      </c>
      <c r="AA39">
        <f t="shared" si="21"/>
        <v>512000</v>
      </c>
      <c r="AB39">
        <f t="shared" si="21"/>
        <v>542600</v>
      </c>
      <c r="AC39">
        <f t="shared" si="21"/>
        <v>573200</v>
      </c>
      <c r="AD39">
        <f t="shared" si="21"/>
        <v>603800</v>
      </c>
      <c r="AE39">
        <f t="shared" si="21"/>
        <v>634400</v>
      </c>
      <c r="AF39">
        <f>AF30</f>
        <v>665000</v>
      </c>
      <c r="AG39">
        <f>AF39+($AP$39-$AF$39)/($AP$26-$AF$26)</f>
        <v>704800</v>
      </c>
      <c r="AH39">
        <f t="shared" ref="AH39:AO39" si="22">AG39+($AP$39-$AF$39)/($AP$26-$AF$26)</f>
        <v>744600</v>
      </c>
      <c r="AI39">
        <f t="shared" si="22"/>
        <v>784400</v>
      </c>
      <c r="AJ39">
        <f t="shared" si="22"/>
        <v>824200</v>
      </c>
      <c r="AK39">
        <f t="shared" si="22"/>
        <v>864000</v>
      </c>
      <c r="AL39">
        <f t="shared" si="22"/>
        <v>903800</v>
      </c>
      <c r="AM39">
        <f t="shared" si="22"/>
        <v>943600</v>
      </c>
      <c r="AN39">
        <f t="shared" si="22"/>
        <v>983400</v>
      </c>
      <c r="AO39">
        <f t="shared" si="22"/>
        <v>1023200</v>
      </c>
      <c r="AP39">
        <f>AP30</f>
        <v>1063000</v>
      </c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R2"/>
  <sheetViews>
    <sheetView topLeftCell="U1" workbookViewId="0">
      <selection activeCell="B1" sqref="B1:AR2"/>
    </sheetView>
  </sheetViews>
  <sheetFormatPr defaultColWidth="10.2566371681416" defaultRowHeight="13.85" outlineLevelRow="1"/>
  <cols>
    <col min="1" max="1" width="29.3716814159292" style="4" customWidth="1"/>
    <col min="2" max="3" width="10.2566371681416" style="4" customWidth="1"/>
    <col min="4" max="44" width="10.2477876106195" style="4" customWidth="1"/>
    <col min="45" max="16384" width="9" style="4"/>
  </cols>
  <sheetData>
    <row r="1" spans="1:44">
      <c r="A1" s="5" t="s">
        <v>293</v>
      </c>
      <c r="B1" s="4">
        <v>2018</v>
      </c>
      <c r="C1" s="4">
        <v>2019</v>
      </c>
      <c r="D1" s="4">
        <v>2020</v>
      </c>
      <c r="E1" s="4">
        <v>2021</v>
      </c>
      <c r="F1" s="4">
        <v>2022</v>
      </c>
      <c r="G1" s="4">
        <v>2023</v>
      </c>
      <c r="H1" s="4">
        <v>2024</v>
      </c>
      <c r="I1" s="4">
        <v>2025</v>
      </c>
      <c r="J1" s="4">
        <v>2026</v>
      </c>
      <c r="K1" s="4">
        <v>2027</v>
      </c>
      <c r="L1" s="4">
        <v>2028</v>
      </c>
      <c r="M1" s="4">
        <v>2029</v>
      </c>
      <c r="N1" s="4">
        <v>2030</v>
      </c>
      <c r="O1" s="4">
        <v>2031</v>
      </c>
      <c r="P1" s="4">
        <v>2032</v>
      </c>
      <c r="Q1" s="4">
        <v>2033</v>
      </c>
      <c r="R1" s="4">
        <v>2034</v>
      </c>
      <c r="S1" s="4">
        <v>2035</v>
      </c>
      <c r="T1" s="4">
        <v>2036</v>
      </c>
      <c r="U1" s="4">
        <v>2037</v>
      </c>
      <c r="V1" s="4">
        <v>2038</v>
      </c>
      <c r="W1" s="4">
        <v>2039</v>
      </c>
      <c r="X1" s="4">
        <v>2040</v>
      </c>
      <c r="Y1" s="4">
        <v>2041</v>
      </c>
      <c r="Z1" s="4">
        <v>2042</v>
      </c>
      <c r="AA1" s="4">
        <v>2043</v>
      </c>
      <c r="AB1" s="4">
        <v>2044</v>
      </c>
      <c r="AC1" s="4">
        <v>2045</v>
      </c>
      <c r="AD1" s="4">
        <v>2046</v>
      </c>
      <c r="AE1" s="4">
        <v>2047</v>
      </c>
      <c r="AF1" s="4">
        <v>2048</v>
      </c>
      <c r="AG1" s="4">
        <v>2049</v>
      </c>
      <c r="AH1" s="4">
        <v>2050</v>
      </c>
      <c r="AI1" s="4">
        <v>2051</v>
      </c>
      <c r="AJ1" s="4">
        <v>2052</v>
      </c>
      <c r="AK1" s="4">
        <v>2053</v>
      </c>
      <c r="AL1" s="4">
        <v>2054</v>
      </c>
      <c r="AM1" s="4">
        <v>2055</v>
      </c>
      <c r="AN1" s="4">
        <v>2056</v>
      </c>
      <c r="AO1" s="4">
        <v>2057</v>
      </c>
      <c r="AP1" s="4">
        <v>2058</v>
      </c>
      <c r="AQ1" s="4">
        <v>2059</v>
      </c>
      <c r="AR1" s="4">
        <v>2060</v>
      </c>
    </row>
    <row r="2" spans="1:44">
      <c r="A2" s="4" t="s">
        <v>294</v>
      </c>
      <c r="B2" s="4">
        <f>'2019 Scenario'!B2</f>
        <v>1072.7</v>
      </c>
      <c r="C2" s="4">
        <f>'2019 Scenario'!C2</f>
        <v>1709.6</v>
      </c>
      <c r="D2" s="4">
        <f>'2019 Scenario'!D2</f>
        <v>2726.7</v>
      </c>
      <c r="E2" s="4">
        <f>'2019 Scenario'!E2</f>
        <v>5927.5</v>
      </c>
      <c r="F2" s="4">
        <f>'2019 Scenario'!F2</f>
        <v>9128.3</v>
      </c>
      <c r="G2" s="4">
        <f>'2019 Scenario'!G2</f>
        <v>12329.1</v>
      </c>
      <c r="H2" s="4">
        <f>'2019 Scenario'!H2</f>
        <v>15529.9</v>
      </c>
      <c r="I2" s="4">
        <f>'2019 Scenario'!I2</f>
        <v>18730.7000000002</v>
      </c>
      <c r="J2" s="4">
        <f>'2019 Scenario'!J2</f>
        <v>21931.5000000009</v>
      </c>
      <c r="K2" s="4">
        <f>'2019 Scenario'!K2</f>
        <v>25132.3000000007</v>
      </c>
      <c r="L2" s="4">
        <f>'2019 Scenario'!L2</f>
        <v>28333.1000000006</v>
      </c>
      <c r="M2" s="4">
        <f>'2019 Scenario'!M2</f>
        <v>31533.9000000004</v>
      </c>
      <c r="N2" s="4">
        <f>'2019 Scenario'!N2</f>
        <v>34734.7000000002</v>
      </c>
      <c r="O2" s="4">
        <f>'2019 Scenario'!O2</f>
        <v>37935.5000000009</v>
      </c>
      <c r="P2" s="4">
        <f>'2019 Scenario'!P2</f>
        <v>41136.3000000007</v>
      </c>
      <c r="Q2" s="4">
        <f>'2019 Scenario'!Q2</f>
        <v>44337.1000000006</v>
      </c>
      <c r="R2" s="4">
        <f>'2019 Scenario'!R2</f>
        <v>47537.9000000004</v>
      </c>
      <c r="S2" s="4">
        <f>'2019 Scenario'!S2</f>
        <v>50738.7000000002</v>
      </c>
      <c r="T2" s="4">
        <f>'2019 Scenario'!T2</f>
        <v>53939.5000000009</v>
      </c>
      <c r="U2" s="4">
        <f>'2019 Scenario'!U2</f>
        <v>57140.3000000007</v>
      </c>
      <c r="V2" s="4">
        <f>'2019 Scenario'!V2</f>
        <v>60341.1000000006</v>
      </c>
      <c r="W2" s="4">
        <f>'2019 Scenario'!W2</f>
        <v>63541.9000000004</v>
      </c>
      <c r="X2" s="4">
        <f>'2019 Scenario'!X2</f>
        <v>66742.7000000002</v>
      </c>
      <c r="Y2" s="4">
        <f>'2019 Scenario'!Y2</f>
        <v>69943.5000000009</v>
      </c>
      <c r="Z2" s="4">
        <f>'2019 Scenario'!Z2</f>
        <v>73144.3000000007</v>
      </c>
      <c r="AA2" s="4">
        <f>'2019 Scenario'!AA2</f>
        <v>76345.1000000006</v>
      </c>
      <c r="AB2" s="4">
        <f>'2019 Scenario'!AB2</f>
        <v>79545.9000000004</v>
      </c>
      <c r="AC2" s="4">
        <f>'2019 Scenario'!AC2</f>
        <v>82746.7000000002</v>
      </c>
      <c r="AD2" s="4">
        <f>'2019 Scenario'!AD2</f>
        <v>85947.5000000009</v>
      </c>
      <c r="AE2" s="4">
        <f>'2019 Scenario'!AE2</f>
        <v>89148.3000000007</v>
      </c>
      <c r="AF2" s="4">
        <f>'2019 Scenario'!AF2</f>
        <v>92349.1000000006</v>
      </c>
      <c r="AG2" s="4">
        <f>'2019 Scenario'!AG2</f>
        <v>95549.9000000004</v>
      </c>
      <c r="AH2" s="4">
        <f>'2019 Scenario'!AH2</f>
        <v>98750.7000000002</v>
      </c>
      <c r="AI2" s="4">
        <f>'2019 Scenario'!AI2</f>
        <v>101951.500000001</v>
      </c>
      <c r="AJ2" s="4">
        <f>'2019 Scenario'!AJ2</f>
        <v>105152.300000001</v>
      </c>
      <c r="AK2" s="4">
        <f>'2019 Scenario'!AK2</f>
        <v>108353.100000001</v>
      </c>
      <c r="AL2" s="4">
        <f>'2019 Scenario'!AL2</f>
        <v>111553.9</v>
      </c>
      <c r="AM2" s="4">
        <f>'2019 Scenario'!AM2</f>
        <v>114754.7</v>
      </c>
      <c r="AN2" s="4">
        <f>'2019 Scenario'!AN2</f>
        <v>117955.500000001</v>
      </c>
      <c r="AO2" s="4">
        <f>'2019 Scenario'!AO2</f>
        <v>121156.300000001</v>
      </c>
      <c r="AP2" s="4">
        <f>'2019 Scenario'!AP2</f>
        <v>124357.100000001</v>
      </c>
      <c r="AQ2" s="4">
        <f>'2019 Scenario'!AQ2</f>
        <v>127557.9</v>
      </c>
      <c r="AR2" s="4">
        <f>'2019 Scenario'!AR2</f>
        <v>130758.7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R2"/>
  <sheetViews>
    <sheetView topLeftCell="R1" workbookViewId="0">
      <selection activeCell="B1" sqref="B1:AR2"/>
    </sheetView>
  </sheetViews>
  <sheetFormatPr defaultColWidth="9" defaultRowHeight="13.85" outlineLevelRow="1"/>
  <sheetData>
    <row r="1" s="1" customFormat="1" spans="1:44">
      <c r="A1" s="3" t="s">
        <v>293</v>
      </c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</row>
    <row r="2" s="2" customFormat="1" spans="1:44">
      <c r="A2" s="2" t="s">
        <v>295</v>
      </c>
      <c r="B2" s="2">
        <f>'2019 Scenario'!B9</f>
        <v>2145.4</v>
      </c>
      <c r="C2" s="2">
        <f>'2019 Scenario'!C9</f>
        <v>3419.2</v>
      </c>
      <c r="D2" s="2">
        <f>'2019 Scenario'!D9</f>
        <v>6538.4</v>
      </c>
      <c r="E2" s="2">
        <f>'2019 Scenario'!E9</f>
        <v>11459.4</v>
      </c>
      <c r="F2" s="2">
        <f>'2019 Scenario'!F9</f>
        <v>19615.2</v>
      </c>
      <c r="G2" s="2">
        <f>'2019 Scenario'!G9</f>
        <v>51763.65</v>
      </c>
      <c r="H2" s="2">
        <f>'2019 Scenario'!H9</f>
        <v>75710</v>
      </c>
      <c r="I2" s="2">
        <f>'2019 Scenario'!I9</f>
        <v>98949.559143541</v>
      </c>
      <c r="J2" s="2">
        <f>'2019 Scenario'!J9</f>
        <v>129322.615964881</v>
      </c>
      <c r="K2" s="2">
        <f>'2019 Scenario'!K9</f>
        <v>169018.832875636</v>
      </c>
      <c r="L2" s="2">
        <f>'2019 Scenario'!L9</f>
        <v>220900</v>
      </c>
      <c r="M2" s="2">
        <f>'2019 Scenario'!M9</f>
        <v>263309.084537545</v>
      </c>
      <c r="N2" s="2">
        <f>'2019 Scenario'!N9</f>
        <v>313860</v>
      </c>
      <c r="O2" s="2">
        <f>'2019 Scenario'!O9</f>
        <v>331269.11245362</v>
      </c>
      <c r="P2" s="2">
        <f>'2019 Scenario'!P9</f>
        <v>349643.86945074</v>
      </c>
      <c r="Q2" s="2">
        <f>'2019 Scenario'!Q9</f>
        <v>369037.833135144</v>
      </c>
      <c r="R2" s="2">
        <f>'2019 Scenario'!R9</f>
        <v>389507.536622973</v>
      </c>
      <c r="S2" s="2">
        <f>'2019 Scenario'!S9</f>
        <v>411112.648795923</v>
      </c>
      <c r="T2" s="2">
        <f>'2019 Scenario'!T9</f>
        <v>433916.148235144</v>
      </c>
      <c r="U2" s="2">
        <f>'2019 Scenario'!U9</f>
        <v>457984.506802873</v>
      </c>
      <c r="V2" s="2">
        <f>'2019 Scenario'!V9</f>
        <v>483387.883406923</v>
      </c>
      <c r="W2" s="2">
        <f>'2019 Scenario'!W9</f>
        <v>510200.328512858</v>
      </c>
      <c r="X2" s="2">
        <f>'2019 Scenario'!X9</f>
        <v>538500</v>
      </c>
      <c r="Y2" s="2">
        <f>'2019 Scenario'!Y9</f>
        <v>572741.202902248</v>
      </c>
      <c r="Z2" s="2">
        <f>'2019 Scenario'!Z9</f>
        <v>609159.675955273</v>
      </c>
      <c r="AA2" s="2">
        <f>'2019 Scenario'!AA9</f>
        <v>647893.863632621</v>
      </c>
      <c r="AB2" s="2">
        <f>'2019 Scenario'!AB9</f>
        <v>689091.01357462</v>
      </c>
      <c r="AC2" s="2">
        <f>'2019 Scenario'!AC9</f>
        <v>732907.736348853</v>
      </c>
      <c r="AD2" s="2">
        <f>'2019 Scenario'!AD9</f>
        <v>779510.600803725</v>
      </c>
      <c r="AE2" s="2">
        <f>'2019 Scenario'!AE9</f>
        <v>829076.767278328</v>
      </c>
      <c r="AF2" s="2">
        <f>'2019 Scenario'!AF9</f>
        <v>881794.66107576</v>
      </c>
      <c r="AG2" s="2">
        <f>'2019 Scenario'!AG9</f>
        <v>937864.688760095</v>
      </c>
      <c r="AH2" s="2">
        <f>'2019 Scenario'!AH9</f>
        <v>997500</v>
      </c>
      <c r="AI2" s="2">
        <f>'2019 Scenario'!AI9</f>
        <v>1045403.78043856</v>
      </c>
      <c r="AJ2" s="2">
        <f>'2019 Scenario'!AJ9</f>
        <v>1095608.08436616</v>
      </c>
      <c r="AK2" s="2">
        <f>'2019 Scenario'!AK9</f>
        <v>1148223.39175482</v>
      </c>
      <c r="AL2" s="2">
        <f>'2019 Scenario'!AL9</f>
        <v>1203365.48824911</v>
      </c>
      <c r="AM2" s="2">
        <f>'2019 Scenario'!AM9</f>
        <v>1261155.71996483</v>
      </c>
      <c r="AN2" s="2">
        <f>'2019 Scenario'!AN9</f>
        <v>1321721.26052426</v>
      </c>
      <c r="AO2" s="2">
        <f>'2019 Scenario'!AO9</f>
        <v>1385195.39091538</v>
      </c>
      <c r="AP2" s="2">
        <f>'2019 Scenario'!AP9</f>
        <v>1451717.79279099</v>
      </c>
      <c r="AQ2" s="2">
        <f>'2019 Scenario'!AQ9</f>
        <v>1521434.85585326</v>
      </c>
      <c r="AR2" s="2">
        <f>'2019 Scenario'!AR9</f>
        <v>1594500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B2"/>
  <sheetViews>
    <sheetView workbookViewId="0">
      <selection activeCell="B2" sqref="B2"/>
    </sheetView>
  </sheetViews>
  <sheetFormatPr defaultColWidth="9" defaultRowHeight="13.85" outlineLevelRow="1" outlineLevelCol="1"/>
  <cols>
    <col min="2" max="2" width="21.5044247787611" customWidth="1"/>
  </cols>
  <sheetData>
    <row r="1" spans="1:2">
      <c r="A1" s="1" t="s">
        <v>293</v>
      </c>
      <c r="B1" s="1" t="s">
        <v>296</v>
      </c>
    </row>
    <row r="2" spans="1:2">
      <c r="A2" s="1" t="s">
        <v>297</v>
      </c>
      <c r="B2" s="1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About</vt:lpstr>
      <vt:lpstr>Grid Side Projects</vt:lpstr>
      <vt:lpstr>CEC Annual</vt:lpstr>
      <vt:lpstr>CNESA</vt:lpstr>
      <vt:lpstr>Past</vt:lpstr>
      <vt:lpstr>2019 Scenario</vt:lpstr>
      <vt:lpstr>CN ST Forecast</vt:lpstr>
      <vt:lpstr>CN LT Forecast</vt:lpstr>
      <vt:lpstr>BGBSC</vt:lpstr>
      <vt:lpstr>PAGBSC</vt:lpstr>
      <vt:lpstr>SYGBSC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仰望星空✨✨</cp:lastModifiedBy>
  <dcterms:created xsi:type="dcterms:W3CDTF">2023-02-17T06:36:00Z</dcterms:created>
  <dcterms:modified xsi:type="dcterms:W3CDTF">2026-04-02T07:20:31Z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4C5983B86D9C4A589F8599CC9942C365_13</vt:lpwstr>
  </property>
  <property fmtid="{D5CDD505-2E9C-101B-9397-08002B2CF9AE}" pid="4" name="CalculationRule">
    <vt:i4>0</vt:i4>
  </property>
</Properties>
</file>