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Workfile\EPS China 3.3.1\InputData\elec\GBSC\"/>
    </mc:Choice>
  </mc:AlternateContent>
  <xr:revisionPtr revIDLastSave="0" documentId="13_ncr:1_{17F70E4A-B28B-4228-9168-F585B27553A8}" xr6:coauthVersionLast="47" xr6:coauthVersionMax="47" xr10:uidLastSave="{00000000-0000-0000-0000-000000000000}"/>
  <bookViews>
    <workbookView xWindow="-108" yWindow="-108" windowWidth="23256" windowHeight="12576" activeTab="5" xr2:uid="{E99CD8BC-D2F7-449E-9E37-5AB878E4C0FB}"/>
  </bookViews>
  <sheets>
    <sheet name="Data Source" sheetId="3" r:id="rId1"/>
    <sheet name="Summary" sheetId="1" r:id="rId2"/>
    <sheet name="Forecast" sheetId="4" r:id="rId3"/>
    <sheet name="Past" sheetId="2" r:id="rId4"/>
    <sheet name="Projects" sheetId="6" r:id="rId5"/>
    <sheet name="BGBSC" sheetId="5" r:id="rId6"/>
    <sheet name="PAGBSC" sheetId="7" r:id="rId7"/>
    <sheet name="SYGBSC" sheetId="8" r:id="rId8"/>
  </sheets>
  <definedNames>
    <definedName name="_xlnm._FilterDatabase" localSheetId="4" hidden="1">Projects!$H$1:$J$1</definedName>
    <definedName name="gigwatts_to_megawatt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8" l="1"/>
  <c r="AK2" i="7"/>
  <c r="AL2" i="7" s="1"/>
  <c r="AM2" i="7" s="1"/>
  <c r="AN2" i="7" s="1"/>
  <c r="AO2" i="7" s="1"/>
  <c r="AP2" i="7" s="1"/>
  <c r="AQ2" i="7" s="1"/>
  <c r="AR2" i="7" s="1"/>
  <c r="AS2" i="7" s="1"/>
  <c r="AT2" i="7" s="1"/>
  <c r="M2" i="7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AG2" i="7" s="1"/>
  <c r="AH2" i="7" s="1"/>
  <c r="AI2" i="7" s="1"/>
  <c r="B2" i="7"/>
  <c r="C2" i="7"/>
  <c r="D2" i="7"/>
  <c r="E2" i="7"/>
  <c r="F2" i="7"/>
  <c r="AL2" i="5"/>
  <c r="AM2" i="5" s="1"/>
  <c r="AN2" i="5" s="1"/>
  <c r="AO2" i="5" s="1"/>
  <c r="AP2" i="5" s="1"/>
  <c r="AQ2" i="5" s="1"/>
  <c r="AR2" i="5" s="1"/>
  <c r="AS2" i="5" s="1"/>
  <c r="AT2" i="5" s="1"/>
  <c r="AK2" i="5"/>
  <c r="N2" i="5"/>
  <c r="O2" i="5"/>
  <c r="P2" i="5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G2" i="5" s="1"/>
  <c r="AH2" i="5" s="1"/>
  <c r="AI2" i="5" s="1"/>
  <c r="M2" i="5"/>
  <c r="G2" i="7"/>
  <c r="H2" i="7"/>
  <c r="I2" i="7"/>
  <c r="J2" i="7"/>
  <c r="K2" i="7"/>
  <c r="L2" i="7"/>
  <c r="J55" i="1"/>
  <c r="J54" i="1"/>
  <c r="M54" i="1"/>
  <c r="L54" i="1"/>
  <c r="L55" i="1" s="1"/>
  <c r="C2" i="5"/>
  <c r="D2" i="5"/>
  <c r="E2" i="5"/>
  <c r="F2" i="5"/>
  <c r="G2" i="5"/>
  <c r="H2" i="5"/>
  <c r="I2" i="5"/>
  <c r="J2" i="5"/>
  <c r="K2" i="5"/>
  <c r="L2" i="5"/>
  <c r="B2" i="5"/>
  <c r="L47" i="1"/>
  <c r="M47" i="1" s="1"/>
  <c r="N10" i="4"/>
  <c r="K55" i="1" l="1"/>
  <c r="M52" i="1"/>
  <c r="N52" i="1"/>
  <c r="O52" i="1"/>
  <c r="P52" i="1"/>
  <c r="L52" i="1"/>
  <c r="W72" i="4"/>
  <c r="W79" i="4"/>
  <c r="P72" i="4"/>
  <c r="P71" i="4"/>
  <c r="P70" i="4"/>
  <c r="K77" i="4"/>
  <c r="P77" i="4" s="1"/>
  <c r="L77" i="4"/>
  <c r="M77" i="4"/>
  <c r="N77" i="4"/>
  <c r="O77" i="4"/>
  <c r="K75" i="4"/>
  <c r="L75" i="4"/>
  <c r="M75" i="4"/>
  <c r="N75" i="4"/>
  <c r="O75" i="4"/>
  <c r="P75" i="4"/>
  <c r="K76" i="4"/>
  <c r="O76" i="4"/>
  <c r="N76" i="4"/>
  <c r="M76" i="4"/>
  <c r="L76" i="4"/>
  <c r="P76" i="4"/>
  <c r="W76" i="4"/>
  <c r="S76" i="4"/>
  <c r="T76" i="4"/>
  <c r="U76" i="4"/>
  <c r="V76" i="4"/>
  <c r="R76" i="4"/>
  <c r="V75" i="4"/>
  <c r="U75" i="4"/>
  <c r="T75" i="4"/>
  <c r="S75" i="4"/>
  <c r="R75" i="4"/>
  <c r="P84" i="4"/>
  <c r="Q84" i="4"/>
  <c r="W77" i="4" s="1"/>
  <c r="R77" i="4" s="1"/>
  <c r="R78" i="4" s="1"/>
  <c r="R84" i="4" s="1"/>
  <c r="J11" i="6"/>
  <c r="I11" i="6"/>
  <c r="J10" i="6"/>
  <c r="I10" i="6"/>
  <c r="J9" i="6"/>
  <c r="I9" i="6"/>
  <c r="J8" i="6"/>
  <c r="I8" i="6"/>
  <c r="J7" i="6"/>
  <c r="I7" i="6"/>
  <c r="J6" i="6"/>
  <c r="I6" i="6"/>
  <c r="J5" i="6"/>
  <c r="I5" i="6"/>
  <c r="J4" i="6"/>
  <c r="I4" i="6"/>
  <c r="J3" i="6"/>
  <c r="I3" i="6"/>
  <c r="J2" i="6"/>
  <c r="I2" i="6"/>
  <c r="C46" i="1"/>
  <c r="H47" i="1"/>
  <c r="I47" i="1" s="1"/>
  <c r="J47" i="1" s="1"/>
  <c r="K47" i="1" s="1"/>
  <c r="K54" i="1" s="1"/>
  <c r="AA58" i="2"/>
  <c r="AA53" i="2"/>
  <c r="AA50" i="2"/>
  <c r="Z51" i="2"/>
  <c r="Z52" i="2"/>
  <c r="Z53" i="2"/>
  <c r="Z54" i="2"/>
  <c r="Z55" i="2"/>
  <c r="Z56" i="2"/>
  <c r="Z57" i="2"/>
  <c r="Z58" i="2"/>
  <c r="Z59" i="2"/>
  <c r="Z50" i="2"/>
  <c r="L6" i="1"/>
  <c r="L10" i="1"/>
  <c r="Q86" i="4" l="1"/>
  <c r="R86" i="4" s="1"/>
  <c r="S86" i="4" s="1"/>
  <c r="T86" i="4" s="1"/>
  <c r="U86" i="4" s="1"/>
  <c r="V86" i="4" s="1"/>
  <c r="V77" i="4"/>
  <c r="V78" i="4" s="1"/>
  <c r="U77" i="4"/>
  <c r="U78" i="4" s="1"/>
  <c r="T77" i="4"/>
  <c r="T78" i="4" s="1"/>
  <c r="S77" i="4"/>
  <c r="S78" i="4" s="1"/>
  <c r="S84" i="4" s="1"/>
  <c r="W75" i="4"/>
  <c r="L11" i="1"/>
  <c r="L12" i="1"/>
  <c r="L13" i="1"/>
  <c r="K6" i="1"/>
  <c r="H11" i="1"/>
  <c r="I11" i="1"/>
  <c r="H12" i="1"/>
  <c r="I12" i="1"/>
  <c r="H13" i="1"/>
  <c r="I13" i="1"/>
  <c r="J12" i="1"/>
  <c r="J13" i="1"/>
  <c r="J11" i="1"/>
  <c r="K11" i="1"/>
  <c r="K12" i="1"/>
  <c r="K13" i="1"/>
  <c r="K10" i="1"/>
  <c r="K9" i="1" s="1"/>
  <c r="F10" i="1"/>
  <c r="G10" i="1"/>
  <c r="H5" i="1"/>
  <c r="I5" i="1"/>
  <c r="J5" i="1"/>
  <c r="K5" i="1"/>
  <c r="J21" i="1"/>
  <c r="H21" i="1"/>
  <c r="Y60" i="2"/>
  <c r="C31" i="1"/>
  <c r="D31" i="1"/>
  <c r="E31" i="1"/>
  <c r="F31" i="1"/>
  <c r="G31" i="1"/>
  <c r="H31" i="1"/>
  <c r="I31" i="1"/>
  <c r="J31" i="1"/>
  <c r="K31" i="1"/>
  <c r="K49" i="1" l="1"/>
  <c r="L51" i="1"/>
  <c r="T84" i="4"/>
  <c r="U84" i="4" s="1"/>
  <c r="V84" i="4" s="1"/>
  <c r="L9" i="1"/>
  <c r="I21" i="1"/>
  <c r="J6" i="1"/>
  <c r="N47" i="1" l="1"/>
  <c r="N51" i="1" s="1"/>
  <c r="M51" i="1"/>
  <c r="M55" i="1"/>
  <c r="K48" i="1"/>
  <c r="J48" i="1" s="1"/>
  <c r="Q87" i="4" s="1"/>
  <c r="R87" i="4" s="1"/>
  <c r="S87" i="4" s="1"/>
  <c r="T87" i="4" s="1"/>
  <c r="U87" i="4" s="1"/>
  <c r="V87" i="4" s="1"/>
  <c r="K46" i="1"/>
  <c r="J46" i="1" s="1"/>
  <c r="Q85" i="4" s="1"/>
  <c r="R85" i="4" s="1"/>
  <c r="S85" i="4" s="1"/>
  <c r="T85" i="4" s="1"/>
  <c r="U85" i="4" s="1"/>
  <c r="V85" i="4" s="1"/>
  <c r="O51" i="1" l="1"/>
  <c r="P51" i="1" s="1"/>
  <c r="N54" i="1"/>
  <c r="N55" i="1" l="1"/>
  <c r="O47" i="1"/>
  <c r="O54" i="1" s="1"/>
  <c r="O55" i="1" s="1"/>
  <c r="P47" i="1" l="1"/>
  <c r="P54" i="1"/>
  <c r="P55" i="1" s="1"/>
</calcChain>
</file>

<file path=xl/sharedStrings.xml><?xml version="1.0" encoding="utf-8"?>
<sst xmlns="http://schemas.openxmlformats.org/spreadsheetml/2006/main" count="344" uniqueCount="201">
  <si>
    <t>Total</t>
    <phoneticPr fontId="2" type="noConversion"/>
  </si>
  <si>
    <t>Pumped Hydro</t>
    <phoneticPr fontId="2" type="noConversion"/>
  </si>
  <si>
    <t>Electrochemical</t>
    <phoneticPr fontId="2" type="noConversion"/>
  </si>
  <si>
    <t>Compressed Air</t>
    <phoneticPr fontId="2" type="noConversion"/>
  </si>
  <si>
    <t>Molten Salt</t>
    <phoneticPr fontId="2" type="noConversion"/>
  </si>
  <si>
    <t>Flywheel</t>
    <phoneticPr fontId="2" type="noConversion"/>
  </si>
  <si>
    <t>Lithium Ion</t>
    <phoneticPr fontId="2" type="noConversion"/>
  </si>
  <si>
    <t>Lead Acid</t>
    <phoneticPr fontId="2" type="noConversion"/>
  </si>
  <si>
    <t>Flow Battery</t>
    <phoneticPr fontId="2" type="noConversion"/>
  </si>
  <si>
    <t>Supercapacitator</t>
    <phoneticPr fontId="2" type="noConversion"/>
  </si>
  <si>
    <t>Other</t>
    <phoneticPr fontId="2" type="noConversion"/>
  </si>
  <si>
    <t>Alternative Energy Storage</t>
    <phoneticPr fontId="2" type="noConversion"/>
  </si>
  <si>
    <t>《储能产业研究白皮书2022》发布：2021年中国新型储能新增投运2.4GW/4.9GWh - 生态中国网 (eco.gov.cn)</t>
  </si>
  <si>
    <t>关于加快推动新型储能发展的指导意见</t>
  </si>
  <si>
    <t>国家发展改革委 国家能源局关于加快推动新型储能发展的指导意见_其他_中国政府网 (www.gov.cn)</t>
  </si>
  <si>
    <t>国家发改委，国家能源局</t>
    <phoneticPr fontId="2" type="noConversion"/>
  </si>
  <si>
    <t>电源侧</t>
    <phoneticPr fontId="2" type="noConversion"/>
  </si>
  <si>
    <t>电网侧</t>
    <phoneticPr fontId="2" type="noConversion"/>
  </si>
  <si>
    <t>用户侧</t>
    <phoneticPr fontId="2" type="noConversion"/>
  </si>
  <si>
    <t>合计</t>
    <phoneticPr fontId="2" type="noConversion"/>
  </si>
  <si>
    <t>支持可再生能源并网</t>
    <phoneticPr fontId="2" type="noConversion"/>
  </si>
  <si>
    <t>辅助服务</t>
    <phoneticPr fontId="2" type="noConversion"/>
  </si>
  <si>
    <t>大容量能源服务</t>
    <phoneticPr fontId="2" type="noConversion"/>
  </si>
  <si>
    <t>输电基础设施服务</t>
    <phoneticPr fontId="2" type="noConversion"/>
  </si>
  <si>
    <t>配电基础设施服务</t>
    <phoneticPr fontId="2" type="noConversion"/>
  </si>
  <si>
    <t>用户能源管理服务</t>
    <phoneticPr fontId="2" type="noConversion"/>
  </si>
  <si>
    <t>坚决扛牢电网责任 积极推进碳达峰碳中和 (people.com.cn)</t>
  </si>
  <si>
    <t>坚决扛牢电网责任 积极推进碳达峰碳中和</t>
    <phoneticPr fontId="2" type="noConversion"/>
  </si>
  <si>
    <t>BAU Grid Battery Storage Capacity</t>
  </si>
  <si>
    <t>Unit: MW</t>
  </si>
  <si>
    <t>2021年新增项目比例</t>
    <phoneticPr fontId="2" type="noConversion"/>
  </si>
  <si>
    <t>截至2021年底，全国储能装机规模达到4266万千瓦，其中新型储能装机626.8万千瓦，同比增长56.4%;</t>
    <phoneticPr fontId="2" type="noConversion"/>
  </si>
  <si>
    <t>新型储能中90%为电化学储能。截至2021年底，电源侧、用户侧、电网侧储能装机占比分别为49.7%、27.4%和22.9%，电源侧储能接近装机的一半。</t>
    <phoneticPr fontId="2" type="noConversion"/>
  </si>
  <si>
    <t>新能源配储能的现状、挑战及发展建议_电力网 (chinapower.com.cn)</t>
  </si>
  <si>
    <t>2021年新增</t>
    <phoneticPr fontId="2" type="noConversion"/>
  </si>
  <si>
    <t>Source: IEA. Licence: CC BY 4.0</t>
  </si>
  <si>
    <t>This data is subject to the IEA's terms and conditions: https://www.iea.org/t_c/termsandconditions/</t>
  </si>
  <si>
    <t>Units: GW</t>
  </si>
  <si>
    <t>China</t>
  </si>
  <si>
    <t>United States</t>
  </si>
  <si>
    <t>Europe</t>
  </si>
  <si>
    <t>South Korea</t>
  </si>
  <si>
    <t>Japan</t>
  </si>
  <si>
    <t>Rest of the world</t>
  </si>
  <si>
    <t>All Storages</t>
    <phoneticPr fontId="2" type="noConversion"/>
  </si>
  <si>
    <t>Grid Scale Storage</t>
    <phoneticPr fontId="2" type="noConversion"/>
  </si>
  <si>
    <t>Total Alternative</t>
    <phoneticPr fontId="2" type="noConversion"/>
  </si>
  <si>
    <r>
      <rPr>
        <b/>
        <sz val="10"/>
        <rFont val="Microsoft YaHei"/>
        <family val="2"/>
        <charset val="134"/>
      </rPr>
      <t>储能项目名称</t>
    </r>
  </si>
  <si>
    <r>
      <rPr>
        <b/>
        <sz val="10"/>
        <rFont val="Microsoft YaHei"/>
        <family val="2"/>
        <charset val="134"/>
      </rPr>
      <t>储能规模</t>
    </r>
  </si>
  <si>
    <r>
      <rPr>
        <b/>
        <sz val="10"/>
        <rFont val="Microsoft YaHei"/>
        <family val="2"/>
        <charset val="134"/>
      </rPr>
      <t>参与企业</t>
    </r>
  </si>
  <si>
    <t>Province</t>
    <phoneticPr fontId="10" type="noConversion"/>
  </si>
  <si>
    <t>MW</t>
    <phoneticPr fontId="10" type="noConversion"/>
  </si>
  <si>
    <t>MWh</t>
    <phoneticPr fontId="10" type="noConversion"/>
  </si>
  <si>
    <t>Province</t>
  </si>
  <si>
    <r>
      <rPr>
        <sz val="10"/>
        <rFont val="Microsoft YaHei"/>
        <family val="2"/>
        <charset val="134"/>
      </rPr>
      <t>江苏建山储能电站</t>
    </r>
  </si>
  <si>
    <t>5MW/10MWh</t>
  </si>
  <si>
    <t>国网江苏综能</t>
  </si>
  <si>
    <t>江苏</t>
    <phoneticPr fontId="10" type="noConversion"/>
  </si>
  <si>
    <t>江苏</t>
  </si>
  <si>
    <r>
      <rPr>
        <sz val="10"/>
        <rFont val="Microsoft YaHei"/>
        <family val="2"/>
        <charset val="134"/>
      </rPr>
      <t>江苏丹阳储能电站</t>
    </r>
  </si>
  <si>
    <t>12MW/24MWh</t>
  </si>
  <si>
    <t>福建</t>
  </si>
  <si>
    <r>
      <rPr>
        <sz val="10"/>
        <rFont val="Microsoft YaHei"/>
        <family val="2"/>
        <charset val="134"/>
      </rPr>
      <t>江苏大港储能电站</t>
    </r>
  </si>
  <si>
    <t>16MW/32MWh</t>
  </si>
  <si>
    <t>河南</t>
  </si>
  <si>
    <r>
      <rPr>
        <sz val="10"/>
        <rFont val="Microsoft YaHei"/>
        <family val="2"/>
        <charset val="134"/>
      </rPr>
      <t>江苏五峰山储能电站</t>
    </r>
  </si>
  <si>
    <t>24MW/48MWh</t>
  </si>
  <si>
    <r>
      <rPr>
        <sz val="10"/>
        <rFont val="Microsoft YaHei"/>
        <family val="2"/>
        <charset val="134"/>
      </rPr>
      <t>许继集团</t>
    </r>
  </si>
  <si>
    <t>湖南</t>
  </si>
  <si>
    <r>
      <rPr>
        <sz val="10"/>
        <rFont val="Microsoft YaHei"/>
        <family val="2"/>
        <charset val="134"/>
      </rPr>
      <t>江苏三跃储能电站</t>
    </r>
  </si>
  <si>
    <t>10MW/20MWh</t>
  </si>
  <si>
    <t>青海</t>
  </si>
  <si>
    <r>
      <rPr>
        <sz val="10"/>
        <rFont val="Microsoft YaHei"/>
        <family val="2"/>
        <charset val="134"/>
      </rPr>
      <t>江苏扬州储能电站</t>
    </r>
  </si>
  <si>
    <t>17.64MW/30.8MWh</t>
  </si>
  <si>
    <t>广东</t>
  </si>
  <si>
    <r>
      <rPr>
        <sz val="10"/>
        <rFont val="Microsoft YaHei"/>
        <family val="2"/>
        <charset val="134"/>
      </rPr>
      <t>江苏北山储能电站</t>
    </r>
  </si>
  <si>
    <r>
      <rPr>
        <sz val="10"/>
        <rFont val="Microsoft YaHei"/>
        <family val="2"/>
        <charset val="134"/>
      </rPr>
      <t>山东电工</t>
    </r>
    <r>
      <rPr>
        <sz val="10"/>
        <rFont val="宋体"/>
        <family val="2"/>
        <charset val="134"/>
      </rPr>
      <t>电气</t>
    </r>
    <phoneticPr fontId="10" type="noConversion"/>
  </si>
  <si>
    <t>浙江</t>
  </si>
  <si>
    <r>
      <rPr>
        <sz val="10"/>
        <rFont val="Microsoft YaHei"/>
        <family val="2"/>
        <charset val="134"/>
      </rPr>
      <t>江苏新坝储能电站</t>
    </r>
  </si>
  <si>
    <t>北京</t>
  </si>
  <si>
    <r>
      <rPr>
        <sz val="10"/>
        <rFont val="Microsoft YaHei"/>
        <family val="2"/>
        <charset val="134"/>
      </rPr>
      <t>江苏长旺储能电站</t>
    </r>
  </si>
  <si>
    <t>8MW/16MWh</t>
  </si>
  <si>
    <t>天津</t>
  </si>
  <si>
    <r>
      <rPr>
        <sz val="10"/>
        <rFont val="Microsoft YaHei"/>
        <family val="2"/>
        <charset val="134"/>
      </rPr>
      <t>江苏苏州张家港乐余储能电站</t>
    </r>
  </si>
  <si>
    <t>20.16MW/35MWh</t>
  </si>
  <si>
    <t>河北</t>
  </si>
  <si>
    <r>
      <rPr>
        <sz val="10"/>
        <rFont val="Microsoft YaHei"/>
        <family val="2"/>
        <charset val="134"/>
      </rPr>
      <t>江苏苏州常熟任阳储能电站</t>
    </r>
  </si>
  <si>
    <t>7.56MW/13.2MWh</t>
  </si>
  <si>
    <r>
      <rPr>
        <sz val="10"/>
        <rFont val="Microsoft YaHei"/>
        <family val="2"/>
        <charset val="134"/>
      </rPr>
      <t>江苏南京江北储能电站</t>
    </r>
  </si>
  <si>
    <t>35.28MW/61.6MWh</t>
  </si>
  <si>
    <r>
      <rPr>
        <sz val="10"/>
        <rFont val="Microsoft YaHei"/>
        <family val="2"/>
        <charset val="134"/>
      </rPr>
      <t>平高集团</t>
    </r>
  </si>
  <si>
    <t>江苏南京江北梯次利用储能电站</t>
    <phoneticPr fontId="10" type="noConversion"/>
  </si>
  <si>
    <t>20MW/75MWh</t>
  </si>
  <si>
    <r>
      <rPr>
        <sz val="10"/>
        <rFont val="Microsoft YaHei"/>
        <family val="2"/>
        <charset val="134"/>
      </rPr>
      <t>江苏南京江北梯次利用储能电站</t>
    </r>
  </si>
  <si>
    <r>
      <rPr>
        <sz val="10"/>
        <rFont val="Microsoft YaHei"/>
        <family val="2"/>
        <charset val="134"/>
      </rPr>
      <t>江苏苏州昆山储能电站</t>
    </r>
  </si>
  <si>
    <t>110.88MW/193.6MWh</t>
  </si>
  <si>
    <r>
      <rPr>
        <sz val="10"/>
        <rFont val="Microsoft YaHei"/>
        <family val="2"/>
        <charset val="134"/>
      </rPr>
      <t>江苏盐城大丰庆生渡储能电站</t>
    </r>
  </si>
  <si>
    <t>27.72MW/48.4MWh</t>
  </si>
  <si>
    <r>
      <rPr>
        <sz val="10"/>
        <rFont val="Microsoft YaHei"/>
        <family val="2"/>
        <charset val="134"/>
      </rPr>
      <t>江苏盐城大丰西团储能电站</t>
    </r>
  </si>
  <si>
    <t>22.68MW/39.6MWh</t>
  </si>
  <si>
    <r>
      <rPr>
        <sz val="10"/>
        <rFont val="Microsoft YaHei"/>
        <family val="2"/>
        <charset val="134"/>
      </rPr>
      <t>江苏淮安金湖戴楼镇官塘储能电站</t>
    </r>
  </si>
  <si>
    <t>15.12MW/26.4MWh</t>
  </si>
  <si>
    <r>
      <rPr>
        <sz val="10"/>
        <rFont val="Microsoft YaHei"/>
        <family val="2"/>
        <charset val="134"/>
      </rPr>
      <t>国网综能</t>
    </r>
  </si>
  <si>
    <r>
      <rPr>
        <sz val="10"/>
        <rFont val="Microsoft YaHei"/>
        <family val="2"/>
        <charset val="134"/>
      </rPr>
      <t>江苏淮安金湖银涂镇红湖储能电站</t>
    </r>
  </si>
  <si>
    <t>40.32MW/70.4MWh</t>
  </si>
  <si>
    <r>
      <rPr>
        <sz val="10"/>
        <rFont val="Microsoft YaHei"/>
        <family val="2"/>
        <charset val="134"/>
      </rPr>
      <t>河南汤阴变储能电站</t>
    </r>
  </si>
  <si>
    <t>100.8MW/100.8MWh</t>
  </si>
  <si>
    <t>河南</t>
    <phoneticPr fontId="10" type="noConversion"/>
  </si>
  <si>
    <r>
      <rPr>
        <sz val="10"/>
        <rFont val="Microsoft YaHei"/>
        <family val="2"/>
        <charset val="134"/>
      </rPr>
      <t>河南兰考变储能电站</t>
    </r>
  </si>
  <si>
    <r>
      <rPr>
        <sz val="10"/>
        <rFont val="Microsoft YaHei"/>
        <family val="2"/>
        <charset val="134"/>
      </rPr>
      <t>河南庞屯变储能电站</t>
    </r>
  </si>
  <si>
    <r>
      <rPr>
        <sz val="10"/>
        <rFont val="Microsoft YaHei"/>
        <family val="2"/>
        <charset val="134"/>
      </rPr>
      <t>河南</t>
    </r>
    <r>
      <rPr>
        <sz val="10"/>
        <rFont val="宋体"/>
        <family val="2"/>
        <charset val="134"/>
      </rPr>
      <t>漯河</t>
    </r>
    <r>
      <rPr>
        <sz val="10"/>
        <rFont val="Microsoft YaHei"/>
        <family val="2"/>
        <charset val="134"/>
      </rPr>
      <t>变储能电站</t>
    </r>
    <phoneticPr fontId="10" type="noConversion"/>
  </si>
  <si>
    <r>
      <rPr>
        <sz val="10"/>
        <rFont val="Microsoft YaHei"/>
        <family val="2"/>
        <charset val="134"/>
      </rPr>
      <t>河南干河陈变储能电站</t>
    </r>
    <phoneticPr fontId="10" type="noConversion"/>
  </si>
  <si>
    <r>
      <rPr>
        <sz val="10"/>
        <rFont val="宋体"/>
        <family val="3"/>
        <charset val="134"/>
      </rPr>
      <t>河南郊县变储能电站</t>
    </r>
    <phoneticPr fontId="10" type="noConversion"/>
  </si>
  <si>
    <r>
      <rPr>
        <sz val="10"/>
        <rFont val="Microsoft YaHei"/>
        <family val="2"/>
        <charset val="134"/>
      </rPr>
      <t>河南</t>
    </r>
    <r>
      <rPr>
        <sz val="10"/>
        <rFont val="宋体"/>
        <family val="2"/>
        <charset val="134"/>
      </rPr>
      <t>趔</t>
    </r>
    <r>
      <rPr>
        <sz val="10"/>
        <rFont val="Microsoft YaHei"/>
        <family val="2"/>
        <charset val="134"/>
      </rPr>
      <t>山变储能电站</t>
    </r>
    <phoneticPr fontId="10" type="noConversion"/>
  </si>
  <si>
    <r>
      <rPr>
        <sz val="10"/>
        <rFont val="Microsoft YaHei"/>
        <family val="2"/>
        <charset val="134"/>
      </rPr>
      <t>河南温庄变储能电站</t>
    </r>
  </si>
  <si>
    <r>
      <rPr>
        <sz val="10"/>
        <rFont val="Microsoft YaHei"/>
        <family val="2"/>
        <charset val="134"/>
      </rPr>
      <t>河南洪门变储能电站</t>
    </r>
  </si>
  <si>
    <r>
      <rPr>
        <sz val="10"/>
        <rFont val="Microsoft YaHei"/>
        <family val="2"/>
        <charset val="134"/>
      </rPr>
      <t>河南五里墩变储能电站</t>
    </r>
    <phoneticPr fontId="10" type="noConversion"/>
  </si>
  <si>
    <r>
      <rPr>
        <sz val="10"/>
        <rFont val="Microsoft YaHei"/>
        <family val="2"/>
        <charset val="134"/>
      </rPr>
      <t>河南息县变储能电站</t>
    </r>
    <phoneticPr fontId="10" type="noConversion"/>
  </si>
  <si>
    <r>
      <rPr>
        <sz val="10"/>
        <rFont val="Microsoft YaHei"/>
        <family val="2"/>
        <charset val="134"/>
      </rPr>
      <t>河南许昌变储能电站</t>
    </r>
  </si>
  <si>
    <r>
      <rPr>
        <sz val="10"/>
        <rFont val="Microsoft YaHei"/>
        <family val="2"/>
        <charset val="134"/>
      </rPr>
      <t>河南平安变储能电站</t>
    </r>
  </si>
  <si>
    <r>
      <rPr>
        <sz val="10"/>
        <rFont val="Microsoft YaHei"/>
        <family val="2"/>
        <charset val="134"/>
      </rPr>
      <t>河南潘庄变储能电站</t>
    </r>
  </si>
  <si>
    <r>
      <rPr>
        <sz val="10"/>
        <rFont val="Microsoft YaHei"/>
        <family val="2"/>
        <charset val="134"/>
      </rPr>
      <t>河南黄龙变储能电站</t>
    </r>
  </si>
  <si>
    <r>
      <rPr>
        <sz val="10"/>
        <rFont val="Microsoft YaHei"/>
        <family val="2"/>
        <charset val="134"/>
      </rPr>
      <t>河南龙山变储能电站</t>
    </r>
  </si>
  <si>
    <r>
      <rPr>
        <sz val="10"/>
        <rFont val="Microsoft YaHei"/>
        <family val="2"/>
        <charset val="134"/>
      </rPr>
      <t>湖南长沙榔梨储能电站</t>
    </r>
  </si>
  <si>
    <t>国网湖南综能</t>
  </si>
  <si>
    <t>湖南</t>
    <phoneticPr fontId="10" type="noConversion"/>
  </si>
  <si>
    <r>
      <rPr>
        <sz val="10"/>
        <rFont val="Microsoft YaHei"/>
        <family val="2"/>
        <charset val="134"/>
      </rPr>
      <t>湖南长沙延农储能电站</t>
    </r>
  </si>
  <si>
    <r>
      <rPr>
        <sz val="10"/>
        <rFont val="Microsoft YaHei"/>
        <family val="2"/>
        <charset val="134"/>
      </rPr>
      <t>湖南长沙芙蓉储能电站</t>
    </r>
  </si>
  <si>
    <t>26MW/52MWh</t>
  </si>
  <si>
    <r>
      <rPr>
        <sz val="10"/>
        <rFont val="Microsoft YaHei"/>
        <family val="2"/>
        <charset val="134"/>
      </rPr>
      <t>青海格尔木美满储能电站</t>
    </r>
  </si>
  <si>
    <t>16MW/64MWh</t>
  </si>
  <si>
    <r>
      <rPr>
        <sz val="10"/>
        <rFont val="Microsoft YaHei"/>
        <family val="2"/>
        <charset val="134"/>
      </rPr>
      <t>国网青海</t>
    </r>
  </si>
  <si>
    <t>青海</t>
    <phoneticPr fontId="10" type="noConversion"/>
  </si>
  <si>
    <r>
      <rPr>
        <sz val="10"/>
        <rFont val="Microsoft YaHei"/>
        <family val="2"/>
        <charset val="134"/>
      </rPr>
      <t>福建晋江储能电站试点示范项目</t>
    </r>
  </si>
  <si>
    <t>30MW/100MWh</t>
  </si>
  <si>
    <r>
      <rPr>
        <sz val="10"/>
        <rFont val="Microsoft YaHei"/>
        <family val="2"/>
        <charset val="134"/>
      </rPr>
      <t>福建省投资</t>
    </r>
  </si>
  <si>
    <t>福建</t>
    <phoneticPr fontId="10" type="noConversion"/>
  </si>
  <si>
    <r>
      <rPr>
        <sz val="10"/>
        <rFont val="Microsoft YaHei"/>
        <family val="2"/>
        <charset val="134"/>
      </rPr>
      <t>国网时代漳浦储能电站</t>
    </r>
  </si>
  <si>
    <t>150MW/300MWh</t>
  </si>
  <si>
    <r>
      <rPr>
        <sz val="10"/>
        <rFont val="Microsoft YaHei"/>
        <family val="2"/>
        <charset val="134"/>
      </rPr>
      <t>国网时代</t>
    </r>
  </si>
  <si>
    <r>
      <rPr>
        <sz val="10"/>
        <rFont val="Microsoft YaHei"/>
        <family val="2"/>
        <charset val="134"/>
      </rPr>
      <t>国网时代福清储能电站</t>
    </r>
  </si>
  <si>
    <r>
      <rPr>
        <sz val="10"/>
        <rFont val="Microsoft YaHei"/>
        <family val="2"/>
        <charset val="134"/>
      </rPr>
      <t>浙江宁波</t>
    </r>
    <r>
      <rPr>
        <sz val="10"/>
        <rFont val="Arial"/>
        <family val="2"/>
      </rPr>
      <t>110KV</t>
    </r>
    <r>
      <rPr>
        <sz val="10"/>
        <rFont val="Microsoft YaHei"/>
        <family val="2"/>
        <charset val="134"/>
      </rPr>
      <t>越瓷变储能</t>
    </r>
  </si>
  <si>
    <t>6MW/8.4MWh</t>
  </si>
  <si>
    <r>
      <rPr>
        <sz val="10"/>
        <rFont val="Microsoft YaHei"/>
        <family val="2"/>
        <charset val="134"/>
      </rPr>
      <t>华云能源</t>
    </r>
  </si>
  <si>
    <t>浙江</t>
    <phoneticPr fontId="10" type="noConversion"/>
  </si>
  <si>
    <r>
      <rPr>
        <sz val="10"/>
        <rFont val="Microsoft YaHei"/>
        <family val="2"/>
        <charset val="134"/>
      </rPr>
      <t>浙江杭州</t>
    </r>
    <r>
      <rPr>
        <sz val="10"/>
        <rFont val="Arial"/>
        <family val="2"/>
      </rPr>
      <t>110KV</t>
    </r>
    <r>
      <rPr>
        <sz val="10"/>
        <rFont val="Microsoft YaHei"/>
        <family val="2"/>
        <charset val="134"/>
      </rPr>
      <t>江虹变储能</t>
    </r>
  </si>
  <si>
    <t>4MW/12.8MWh</t>
  </si>
  <si>
    <r>
      <rPr>
        <sz val="10"/>
        <rFont val="Microsoft YaHei"/>
        <family val="2"/>
        <charset val="134"/>
      </rPr>
      <t>浙江湖州</t>
    </r>
    <r>
      <rPr>
        <sz val="10"/>
        <rFont val="Arial"/>
        <family val="2"/>
      </rPr>
      <t>110kW</t>
    </r>
    <r>
      <rPr>
        <sz val="10"/>
        <rFont val="Microsoft YaHei"/>
        <family val="2"/>
        <charset val="134"/>
      </rPr>
      <t>金陵变储能</t>
    </r>
    <phoneticPr fontId="10" type="noConversion"/>
  </si>
  <si>
    <r>
      <rPr>
        <sz val="10"/>
        <rFont val="Microsoft YaHei"/>
        <family val="2"/>
        <charset val="134"/>
      </rPr>
      <t>浙江衢州灰坪乡大麦源村储能</t>
    </r>
  </si>
  <si>
    <t>30KW/450KWh</t>
  </si>
  <si>
    <t>国网浙江综能</t>
  </si>
  <si>
    <r>
      <rPr>
        <sz val="10"/>
        <rFont val="微软雅黑"/>
        <family val="2"/>
        <charset val="134"/>
      </rPr>
      <t>浙江慈溪</t>
    </r>
    <r>
      <rPr>
        <sz val="10"/>
        <rFont val="宋体"/>
        <family val="2"/>
        <charset val="134"/>
      </rPr>
      <t>掌起</t>
    </r>
    <r>
      <rPr>
        <sz val="10"/>
        <rFont val="微软雅黑"/>
        <family val="2"/>
        <charset val="134"/>
      </rPr>
      <t>万洋众创城梯次利用电网侧储能</t>
    </r>
    <phoneticPr fontId="10" type="noConversion"/>
  </si>
  <si>
    <t>20kW/44.22kWh</t>
  </si>
  <si>
    <r>
      <rPr>
        <sz val="10"/>
        <rFont val="Microsoft YaHei"/>
        <family val="2"/>
        <charset val="134"/>
      </rPr>
      <t>北京怀柔科学城储能一期</t>
    </r>
  </si>
  <si>
    <t>国网北京电力公司</t>
  </si>
  <si>
    <t>北京</t>
    <phoneticPr fontId="10" type="noConversion"/>
  </si>
  <si>
    <r>
      <rPr>
        <sz val="10"/>
        <rFont val="Microsoft YaHei"/>
        <family val="2"/>
        <charset val="134"/>
      </rPr>
      <t>北京冬奥会场馆储能电站</t>
    </r>
  </si>
  <si>
    <t>14MW/14MWh</t>
  </si>
  <si>
    <r>
      <rPr>
        <sz val="10"/>
        <rFont val="Microsoft YaHei"/>
        <family val="2"/>
        <charset val="134"/>
      </rPr>
      <t>青海格尔木电网侧共享储能项目</t>
    </r>
  </si>
  <si>
    <t>32MW/64MWh</t>
  </si>
  <si>
    <r>
      <rPr>
        <sz val="10"/>
        <rFont val="Microsoft YaHei"/>
        <family val="2"/>
        <charset val="134"/>
      </rPr>
      <t>上海电气</t>
    </r>
  </si>
  <si>
    <r>
      <rPr>
        <sz val="10"/>
        <rFont val="微软雅黑"/>
        <family val="2"/>
        <charset val="134"/>
      </rPr>
      <t>天津智慧能源小镇创新示范</t>
    </r>
    <r>
      <rPr>
        <sz val="10"/>
        <rFont val="宋体"/>
        <family val="2"/>
        <charset val="134"/>
      </rPr>
      <t>工</t>
    </r>
    <r>
      <rPr>
        <sz val="10"/>
        <rFont val="微软雅黑"/>
        <family val="2"/>
        <charset val="134"/>
      </rPr>
      <t>程中新生态城电网侧储能</t>
    </r>
    <phoneticPr fontId="10" type="noConversion"/>
  </si>
  <si>
    <t>10MW/10MWh</t>
    <phoneticPr fontId="10" type="noConversion"/>
  </si>
  <si>
    <t>天津</t>
    <phoneticPr fontId="10" type="noConversion"/>
  </si>
  <si>
    <t>河北秦皇岛北戴河新区10千伏蒲河电网侧储能</t>
  </si>
  <si>
    <t>2MW/4MWh</t>
  </si>
  <si>
    <t>国网冀北电力</t>
  </si>
  <si>
    <t>河北</t>
    <phoneticPr fontId="10" type="noConversion"/>
  </si>
  <si>
    <t>东莞松木山（巷尾）110kV变电站储能项目</t>
  </si>
  <si>
    <t>广东</t>
    <phoneticPr fontId="10" type="noConversion"/>
  </si>
  <si>
    <r>
      <rPr>
        <sz val="10"/>
        <rFont val="Microsoft YaHei"/>
        <family val="2"/>
        <charset val="134"/>
      </rPr>
      <t>东莞港区</t>
    </r>
    <r>
      <rPr>
        <sz val="10"/>
        <rFont val="Arial"/>
        <family val="2"/>
      </rPr>
      <t>110kV</t>
    </r>
    <r>
      <rPr>
        <sz val="10"/>
        <rFont val="Microsoft YaHei"/>
        <family val="2"/>
        <charset val="134"/>
      </rPr>
      <t>变电站侧电池储能</t>
    </r>
    <phoneticPr fontId="10" type="noConversion"/>
  </si>
  <si>
    <r>
      <rPr>
        <sz val="10"/>
        <rFont val="Microsoft YaHei"/>
        <family val="2"/>
        <charset val="134"/>
      </rPr>
      <t>深圳宝清电池储能站扩建项目</t>
    </r>
  </si>
  <si>
    <t>4MW/4MWh</t>
  </si>
  <si>
    <r>
      <rPr>
        <sz val="10"/>
        <rFont val="微软雅黑"/>
        <family val="2"/>
        <charset val="134"/>
      </rPr>
      <t>深圳供电局</t>
    </r>
    <r>
      <rPr>
        <sz val="10"/>
        <rFont val="Arial"/>
        <family val="2"/>
      </rPr>
      <t>110kV</t>
    </r>
    <r>
      <rPr>
        <sz val="10"/>
        <rFont val="微软雅黑"/>
        <family val="2"/>
        <charset val="134"/>
      </rPr>
      <t>潭头变电站电池储能</t>
    </r>
    <phoneticPr fontId="10" type="noConversion"/>
  </si>
  <si>
    <r>
      <rPr>
        <sz val="10"/>
        <rFont val="Microsoft YaHei"/>
        <family val="2"/>
        <charset val="134"/>
      </rPr>
      <t>深圳供电局</t>
    </r>
  </si>
  <si>
    <t>广州供电局从化白兔变电站退役电池梯级利用储能示范工程</t>
  </si>
  <si>
    <t>187kW/1.87MWh</t>
  </si>
  <si>
    <r>
      <rPr>
        <sz val="10"/>
        <rFont val="Microsoft YaHei"/>
        <family val="2"/>
        <charset val="134"/>
      </rPr>
      <t>广州供电局</t>
    </r>
  </si>
  <si>
    <t>调峰</t>
    <phoneticPr fontId="2" type="noConversion"/>
  </si>
  <si>
    <t>调频</t>
    <phoneticPr fontId="2" type="noConversion"/>
  </si>
  <si>
    <t>尖峰负荷</t>
    <phoneticPr fontId="2" type="noConversion"/>
  </si>
  <si>
    <t>电网侧合计</t>
    <phoneticPr fontId="2" type="noConversion"/>
  </si>
  <si>
    <t>累计值</t>
    <phoneticPr fontId="2" type="noConversion"/>
  </si>
  <si>
    <t>容量预测(GWh)</t>
    <phoneticPr fontId="2" type="noConversion"/>
  </si>
  <si>
    <t>功率预测(GW)</t>
    <phoneticPr fontId="2" type="noConversion"/>
  </si>
  <si>
    <t>累计</t>
    <phoneticPr fontId="2" type="noConversion"/>
  </si>
  <si>
    <t>BGBSC</t>
    <phoneticPr fontId="2" type="noConversion"/>
  </si>
  <si>
    <t>PAGSC</t>
    <phoneticPr fontId="2" type="noConversion"/>
  </si>
  <si>
    <t>PGSC</t>
    <phoneticPr fontId="2" type="noConversion"/>
  </si>
  <si>
    <t>BAU</t>
    <phoneticPr fontId="2" type="noConversion"/>
  </si>
  <si>
    <t>Potential</t>
    <phoneticPr fontId="2" type="noConversion"/>
  </si>
  <si>
    <r>
      <t>新型储能继续保持高增长，累计装机规模首次突破10GW，</t>
    </r>
    <r>
      <rPr>
        <sz val="11"/>
        <color rgb="FF000000"/>
        <rFont val="Segoe UI"/>
        <family val="2"/>
      </rPr>
      <t>超过2021年同期的2倍，</t>
    </r>
    <r>
      <rPr>
        <b/>
        <sz val="11"/>
        <color rgb="FF000000"/>
        <rFont val="Segoe UI"/>
        <family val="2"/>
      </rPr>
      <t>达到12.7GW</t>
    </r>
  </si>
  <si>
    <r>
      <t>2022年，</t>
    </r>
    <r>
      <rPr>
        <b/>
        <sz val="11"/>
        <color rgb="FF000000"/>
        <rFont val="Segoe UI"/>
        <family val="2"/>
      </rPr>
      <t>国内新增投运新型储能项目装机规模达6.9GW/15.3GWh</t>
    </r>
  </si>
  <si>
    <t>2022年，中国储能产业继续保持高速发展态势</t>
  </si>
  <si>
    <t>CNESA重磅｜2022储能产业盘点：大势已成，因势而动</t>
  </si>
  <si>
    <t>https://new.qq.com/rain/a/20230116A098JW00</t>
  </si>
  <si>
    <r>
      <t>从应用模式上，</t>
    </r>
    <r>
      <rPr>
        <sz val="11"/>
        <color rgb="FF000000"/>
        <rFont val="Segoe UI"/>
        <family val="2"/>
      </rPr>
      <t>近65%的装机规模分布在电网侧，并且其中90%的项目为独立储能项目，独立储能有望成为新型储能的主流应用形式。</t>
    </r>
  </si>
  <si>
    <t>电网侧储能</t>
  </si>
  <si>
    <t>Potential Additional Grid Battery Storage Capacity</t>
  </si>
  <si>
    <t>Battery Storage Capacity</t>
  </si>
  <si>
    <t>Start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</si>
</sst>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"/>
    <numFmt numFmtId="165" formatCode="0_);[Red]\(0\)"/>
  </numFmts>
  <fonts count="19"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9"/>
      <name val="Calibri"/>
      <family val="2"/>
      <charset val="134"/>
      <scheme val="minor"/>
    </font>
    <font>
      <u/>
      <sz val="11"/>
      <color theme="10"/>
      <name val="Calibri"/>
      <family val="2"/>
      <charset val="134"/>
      <scheme val="minor"/>
    </font>
    <font>
      <sz val="11"/>
      <color rgb="FF000000"/>
      <name val="宋体"/>
      <family val="3"/>
      <charset val="134"/>
    </font>
    <font>
      <i/>
      <sz val="11"/>
      <color theme="1"/>
      <name val="Calibri"/>
      <family val="2"/>
      <scheme val="minor"/>
    </font>
    <font>
      <sz val="12"/>
      <color rgb="FF333333"/>
      <name val="Microsoft Yahei"/>
      <family val="2"/>
      <charset val="134"/>
    </font>
    <font>
      <b/>
      <sz val="11"/>
      <color theme="1"/>
      <name val="Calibri"/>
      <family val="3"/>
      <charset val="134"/>
      <scheme val="minor"/>
    </font>
    <font>
      <sz val="10"/>
      <name val="Arial"/>
      <family val="2"/>
    </font>
    <font>
      <b/>
      <sz val="10"/>
      <name val="Microsoft YaHei"/>
      <family val="2"/>
      <charset val="134"/>
    </font>
    <font>
      <sz val="9"/>
      <name val="宋体"/>
      <family val="3"/>
      <charset val="134"/>
    </font>
    <font>
      <sz val="10"/>
      <name val="Microsoft YaHei"/>
      <family val="2"/>
      <charset val="134"/>
    </font>
    <font>
      <sz val="10"/>
      <name val="宋体"/>
      <family val="3"/>
      <charset val="134"/>
    </font>
    <font>
      <sz val="10"/>
      <name val="Arial"/>
      <family val="2"/>
      <charset val="134"/>
    </font>
    <font>
      <sz val="10"/>
      <name val="宋体"/>
      <family val="2"/>
      <charset val="134"/>
    </font>
    <font>
      <sz val="10"/>
      <name val="微软雅黑"/>
      <family val="2"/>
      <charset val="134"/>
    </font>
    <font>
      <b/>
      <sz val="11"/>
      <color rgb="FF000000"/>
      <name val="Segoe UI"/>
      <family val="2"/>
    </font>
    <font>
      <sz val="11"/>
      <color rgb="FF000000"/>
      <name val="Segoe UI"/>
      <family val="2"/>
    </font>
    <font>
      <b/>
      <sz val="24"/>
      <color rgb="FF333333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0" borderId="0"/>
    <xf numFmtId="0" fontId="8" fillId="0" borderId="0">
      <alignment vertical="center"/>
    </xf>
  </cellStyleXfs>
  <cellXfs count="32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3" fillId="0" borderId="0" xfId="1">
      <alignment vertical="center"/>
    </xf>
    <xf numFmtId="0" fontId="4" fillId="0" borderId="0" xfId="0" applyFont="1">
      <alignment vertical="center"/>
    </xf>
    <xf numFmtId="164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" fillId="0" borderId="0" xfId="2"/>
    <xf numFmtId="2" fontId="1" fillId="0" borderId="0" xfId="2" applyNumberFormat="1"/>
    <xf numFmtId="0" fontId="5" fillId="0" borderId="0" xfId="2" applyFont="1"/>
    <xf numFmtId="164" fontId="1" fillId="0" borderId="0" xfId="2" applyNumberFormat="1"/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164" fontId="7" fillId="0" borderId="0" xfId="0" applyNumberFormat="1" applyFont="1">
      <alignment vertical="center"/>
    </xf>
    <xf numFmtId="0" fontId="8" fillId="0" borderId="0" xfId="3" applyAlignment="1">
      <alignment horizontal="left" vertical="center"/>
    </xf>
    <xf numFmtId="0" fontId="8" fillId="0" borderId="0" xfId="3">
      <alignment vertical="center"/>
    </xf>
    <xf numFmtId="0" fontId="8" fillId="0" borderId="0" xfId="3" applyAlignment="1">
      <alignment horizontal="left" vertical="center" wrapText="1"/>
    </xf>
    <xf numFmtId="0" fontId="12" fillId="0" borderId="0" xfId="3" applyFont="1">
      <alignment vertical="center"/>
    </xf>
    <xf numFmtId="0" fontId="13" fillId="0" borderId="0" xfId="3" applyFont="1" applyAlignment="1">
      <alignment horizontal="left" vertical="center"/>
    </xf>
    <xf numFmtId="0" fontId="11" fillId="0" borderId="0" xfId="3" applyFont="1" applyAlignment="1">
      <alignment horizontal="left" vertical="center"/>
    </xf>
    <xf numFmtId="0" fontId="13" fillId="0" borderId="0" xfId="3" applyFont="1" applyAlignment="1">
      <alignment horizontal="left" vertical="center" wrapText="1"/>
    </xf>
    <xf numFmtId="165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8" fillId="0" borderId="0" xfId="3" applyAlignment="1">
      <alignment horizontal="left" vertical="center"/>
    </xf>
    <xf numFmtId="0" fontId="8" fillId="0" borderId="0" xfId="3" applyAlignment="1">
      <alignment horizontal="center"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 applyAlignment="1">
      <alignment vertical="center"/>
    </xf>
    <xf numFmtId="0" fontId="5" fillId="0" borderId="0" xfId="0" applyFont="1" applyAlignment="1"/>
    <xf numFmtId="0" fontId="0" fillId="0" borderId="0" xfId="0" applyAlignment="1"/>
    <xf numFmtId="1" fontId="0" fillId="0" borderId="0" xfId="0" applyNumberFormat="1" applyAlignment="1"/>
    <xf numFmtId="1" fontId="1" fillId="0" borderId="0" xfId="2" applyNumberFormat="1"/>
  </cellXfs>
  <cellStyles count="4">
    <cellStyle name="Hyperlink" xfId="1" builtinId="8"/>
    <cellStyle name="Normal" xfId="0" builtinId="0"/>
    <cellStyle name="常规 2" xfId="2" xr:uid="{6D71BE20-3087-48A8-9358-F252BE340F74}"/>
    <cellStyle name="常规 3" xfId="3" xr:uid="{42306A8F-AF70-48C8-B9BA-729F8F44471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Summary!$F$45:$Q$45</c:f>
              <c:numCache>
                <c:formatCode>0_ </c:formatCode>
                <c:ptCount val="12"/>
                <c:pt idx="0" formatCode="General">
                  <c:v>2016</c:v>
                </c:pt>
                <c:pt idx="1">
                  <c:v>2017</c:v>
                </c:pt>
                <c:pt idx="2" formatCode="General">
                  <c:v>2018</c:v>
                </c:pt>
                <c:pt idx="3">
                  <c:v>2019</c:v>
                </c:pt>
                <c:pt idx="4" formatCode="General">
                  <c:v>2020</c:v>
                </c:pt>
                <c:pt idx="5">
                  <c:v>2021</c:v>
                </c:pt>
                <c:pt idx="6" formatCode="General">
                  <c:v>2022</c:v>
                </c:pt>
                <c:pt idx="7">
                  <c:v>2023</c:v>
                </c:pt>
                <c:pt idx="8" formatCode="General">
                  <c:v>2024</c:v>
                </c:pt>
                <c:pt idx="9">
                  <c:v>2025</c:v>
                </c:pt>
                <c:pt idx="10" formatCode="General">
                  <c:v>2026</c:v>
                </c:pt>
                <c:pt idx="11">
                  <c:v>2050</c:v>
                </c:pt>
              </c:numCache>
            </c:numRef>
          </c:xVal>
          <c:yVal>
            <c:numRef>
              <c:f>Summary!$F$47:$Q$47</c:f>
              <c:numCache>
                <c:formatCode>General</c:formatCode>
                <c:ptCount val="12"/>
                <c:pt idx="0">
                  <c:v>0</c:v>
                </c:pt>
                <c:pt idx="1">
                  <c:v>100</c:v>
                </c:pt>
                <c:pt idx="2">
                  <c:v>308</c:v>
                </c:pt>
                <c:pt idx="3">
                  <c:v>411</c:v>
                </c:pt>
                <c:pt idx="4" formatCode="0_ ">
                  <c:v>673</c:v>
                </c:pt>
                <c:pt idx="5" formatCode="0_ ">
                  <c:v>2181.1999999999998</c:v>
                </c:pt>
                <c:pt idx="6" formatCode="0_ ">
                  <c:v>6666.2</c:v>
                </c:pt>
                <c:pt idx="7" formatCode="0_ ">
                  <c:v>10056.200000000001</c:v>
                </c:pt>
                <c:pt idx="8" formatCode="0_ ">
                  <c:v>16346.2</c:v>
                </c:pt>
                <c:pt idx="9">
                  <c:v>26135.844457189531</c:v>
                </c:pt>
                <c:pt idx="10">
                  <c:v>37081.403905333616</c:v>
                </c:pt>
                <c:pt idx="11">
                  <c:v>210000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4B-47A6-93D8-66DD17B36C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0428960"/>
        <c:axId val="640428544"/>
      </c:scatterChart>
      <c:valAx>
        <c:axId val="640428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428544"/>
        <c:crosses val="autoZero"/>
        <c:crossBetween val="midCat"/>
      </c:valAx>
      <c:valAx>
        <c:axId val="6404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0428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788-45D7-B4C4-94E46741858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788-45D7-B4C4-94E46741858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788-45D7-B4C4-94E46741858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788-45D7-B4C4-94E46741858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788-45D7-B4C4-94E46741858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788-45D7-B4C4-94E46741858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788-45D7-B4C4-94E46741858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788-45D7-B4C4-94E46741858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788-45D7-B4C4-94E46741858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A788-45D7-B4C4-94E467418582}"/>
              </c:ext>
            </c:extLst>
          </c:dPt>
          <c:cat>
            <c:strRef>
              <c:f>Projects!$H$2:$H$11</c:f>
              <c:strCache>
                <c:ptCount val="10"/>
                <c:pt idx="0">
                  <c:v>江苏</c:v>
                </c:pt>
                <c:pt idx="1">
                  <c:v>福建</c:v>
                </c:pt>
                <c:pt idx="2">
                  <c:v>河南</c:v>
                </c:pt>
                <c:pt idx="3">
                  <c:v>湖南</c:v>
                </c:pt>
                <c:pt idx="4">
                  <c:v>青海</c:v>
                </c:pt>
                <c:pt idx="5">
                  <c:v>广东</c:v>
                </c:pt>
                <c:pt idx="6">
                  <c:v>浙江</c:v>
                </c:pt>
                <c:pt idx="7">
                  <c:v>北京</c:v>
                </c:pt>
                <c:pt idx="8">
                  <c:v>天津</c:v>
                </c:pt>
                <c:pt idx="9">
                  <c:v>河北</c:v>
                </c:pt>
              </c:strCache>
            </c:strRef>
          </c:cat>
          <c:val>
            <c:numRef>
              <c:f>Projects!$I$2:$I$11</c:f>
              <c:numCache>
                <c:formatCode>General</c:formatCode>
                <c:ptCount val="10"/>
                <c:pt idx="0">
                  <c:v>437.72</c:v>
                </c:pt>
                <c:pt idx="1">
                  <c:v>330</c:v>
                </c:pt>
                <c:pt idx="2">
                  <c:v>110.39999999999999</c:v>
                </c:pt>
                <c:pt idx="3">
                  <c:v>60</c:v>
                </c:pt>
                <c:pt idx="4">
                  <c:v>48</c:v>
                </c:pt>
                <c:pt idx="5">
                  <c:v>27.187000000000001</c:v>
                </c:pt>
                <c:pt idx="6">
                  <c:v>22.5</c:v>
                </c:pt>
                <c:pt idx="7">
                  <c:v>19</c:v>
                </c:pt>
                <c:pt idx="8">
                  <c:v>10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788-45D7-B4C4-94E4674185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472440</xdr:colOff>
      <xdr:row>56</xdr:row>
      <xdr:rowOff>11430</xdr:rowOff>
    </xdr:from>
    <xdr:to>
      <xdr:col>13</xdr:col>
      <xdr:colOff>22860</xdr:colOff>
      <xdr:row>71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80630F4-8D2C-CBB5-C893-ACEEA18205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581968</xdr:colOff>
      <xdr:row>49</xdr:row>
      <xdr:rowOff>138408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F42E8F35-727E-0CBC-55A9-47B75BA1D7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180975"/>
          <a:ext cx="6754168" cy="8945223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52</xdr:row>
      <xdr:rowOff>0</xdr:rowOff>
    </xdr:from>
    <xdr:to>
      <xdr:col>8</xdr:col>
      <xdr:colOff>304800</xdr:colOff>
      <xdr:row>69</xdr:row>
      <xdr:rowOff>123825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DA4A2279-6FE2-270B-63F3-DAF7A2CCAE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9410700"/>
          <a:ext cx="51054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638176</xdr:colOff>
      <xdr:row>50</xdr:row>
      <xdr:rowOff>131894</xdr:rowOff>
    </xdr:from>
    <xdr:to>
      <xdr:col>15</xdr:col>
      <xdr:colOff>0</xdr:colOff>
      <xdr:row>66</xdr:row>
      <xdr:rowOff>13225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F2EE7FC5-F6DE-C625-784E-52EBCA9C4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24576" y="9180644"/>
          <a:ext cx="4162424" cy="2776931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50</xdr:row>
      <xdr:rowOff>0</xdr:rowOff>
    </xdr:from>
    <xdr:to>
      <xdr:col>21</xdr:col>
      <xdr:colOff>404247</xdr:colOff>
      <xdr:row>65</xdr:row>
      <xdr:rowOff>112395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28743FA5-CA8E-43AE-A97F-B9607F1EEE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972800" y="9048750"/>
          <a:ext cx="3833247" cy="28270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353240</xdr:colOff>
      <xdr:row>27</xdr:row>
      <xdr:rowOff>153103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96903629-B0EF-7DF8-1B85-D006EEB5E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5839640" cy="5039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7</xdr:col>
      <xdr:colOff>496039</xdr:colOff>
      <xdr:row>43</xdr:row>
      <xdr:rowOff>114695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A80F10F-EFAB-4E66-A942-753941E3DC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067300"/>
          <a:ext cx="5296639" cy="282932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124608</xdr:colOff>
      <xdr:row>45</xdr:row>
      <xdr:rowOff>134505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E7ACF46D-50DA-81A4-226D-4F29D5DCA6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72200" y="0"/>
          <a:ext cx="5611008" cy="8278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10</xdr:col>
      <xdr:colOff>639221</xdr:colOff>
      <xdr:row>94</xdr:row>
      <xdr:rowOff>157569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25EFC61-66BF-9A44-3D40-8546B7197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8324850"/>
          <a:ext cx="7497221" cy="8935697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47</xdr:row>
      <xdr:rowOff>0</xdr:rowOff>
    </xdr:from>
    <xdr:to>
      <xdr:col>20</xdr:col>
      <xdr:colOff>750794</xdr:colOff>
      <xdr:row>72</xdr:row>
      <xdr:rowOff>8024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5A36844C-B8A7-3574-3DE3-96879B9982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202706" y="8426824"/>
          <a:ext cx="6465794" cy="4490376"/>
        </a:xfrm>
        <a:prstGeom prst="rect">
          <a:avLst/>
        </a:prstGeom>
      </xdr:spPr>
    </xdr:pic>
    <xdr:clientData/>
  </xdr:twoCellAnchor>
  <xdr:twoCellAnchor editAs="oneCell">
    <xdr:from>
      <xdr:col>19</xdr:col>
      <xdr:colOff>0</xdr:colOff>
      <xdr:row>14</xdr:row>
      <xdr:rowOff>0</xdr:rowOff>
    </xdr:from>
    <xdr:to>
      <xdr:col>24</xdr:col>
      <xdr:colOff>449916</xdr:colOff>
      <xdr:row>32</xdr:row>
      <xdr:rowOff>114300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3F5C998D-B9D7-2B10-EA47-508D91ED47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30200" y="2533650"/>
          <a:ext cx="5105400" cy="33718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923925</xdr:colOff>
      <xdr:row>11</xdr:row>
      <xdr:rowOff>161925</xdr:rowOff>
    </xdr:from>
    <xdr:to>
      <xdr:col>10</xdr:col>
      <xdr:colOff>38100</xdr:colOff>
      <xdr:row>26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D59B8841-FB0B-48FA-9DE3-E4157B8156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paper.people.com.cn/rmrb/html/2022-02/23/nw.D110000renmrb_20220223_2-12.htm" TargetMode="External"/><Relationship Id="rId2" Type="http://schemas.openxmlformats.org/officeDocument/2006/relationships/hyperlink" Target="http://www.gov.cn/zhengce/zhengceku/2021-07/24/content_5627088.htm" TargetMode="External"/><Relationship Id="rId1" Type="http://schemas.openxmlformats.org/officeDocument/2006/relationships/hyperlink" Target="https://www.eco.gov.cn/news_info/54859.html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://mm.chinapower.com.cn/zx/zxbg/20230203/186424.htm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F17D9-99DA-4963-95B3-EFE0FD8DA64A}">
  <dimension ref="B2:B9"/>
  <sheetViews>
    <sheetView workbookViewId="0">
      <selection activeCell="B2" sqref="B2"/>
    </sheetView>
  </sheetViews>
  <sheetFormatPr defaultRowHeight="14.4"/>
  <sheetData>
    <row r="2" spans="2:2">
      <c r="B2" s="2" t="s">
        <v>12</v>
      </c>
    </row>
    <row r="4" spans="2:2">
      <c r="B4" t="s">
        <v>15</v>
      </c>
    </row>
    <row r="5" spans="2:2">
      <c r="B5" s="3" t="s">
        <v>13</v>
      </c>
    </row>
    <row r="6" spans="2:2">
      <c r="B6" s="2" t="s">
        <v>14</v>
      </c>
    </row>
    <row r="8" spans="2:2">
      <c r="B8" t="s">
        <v>27</v>
      </c>
    </row>
    <row r="9" spans="2:2">
      <c r="B9" s="2" t="s">
        <v>26</v>
      </c>
    </row>
  </sheetData>
  <phoneticPr fontId="2" type="noConversion"/>
  <hyperlinks>
    <hyperlink ref="B2" r:id="rId1" display="https://www.eco.gov.cn/news_info/54859.html" xr:uid="{1BE7FCE2-B0F1-4844-8DF5-04F4777DFC38}"/>
    <hyperlink ref="B6" r:id="rId2" display="http://www.gov.cn/zhengce/zhengceku/2021-07/24/content_5627088.htm" xr:uid="{6DB32D21-A4BB-4F62-8BFE-E07DE58DFB50}"/>
    <hyperlink ref="B9" r:id="rId3" display="http://paper.people.com.cn/rmrb/html/2022-02/23/nw.D110000renmrb_20220223_2-12.htm" xr:uid="{67DB8173-F8B0-48C8-8C95-63D11962701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55C22-D7BB-4A52-86F6-7FD48897F1DB}">
  <dimension ref="A1:T55"/>
  <sheetViews>
    <sheetView topLeftCell="B35" workbookViewId="0">
      <selection activeCell="Q48" sqref="Q48"/>
    </sheetView>
  </sheetViews>
  <sheetFormatPr defaultRowHeight="14.4"/>
  <cols>
    <col min="1" max="1" width="14.77734375" customWidth="1"/>
    <col min="2" max="2" width="16.109375" bestFit="1" customWidth="1"/>
    <col min="11" max="11" width="11" bestFit="1" customWidth="1"/>
  </cols>
  <sheetData>
    <row r="1" spans="1:20">
      <c r="C1">
        <v>2013</v>
      </c>
      <c r="D1">
        <v>2014</v>
      </c>
      <c r="E1">
        <v>2015</v>
      </c>
      <c r="F1">
        <v>2016</v>
      </c>
      <c r="G1">
        <v>2017</v>
      </c>
      <c r="H1">
        <v>2018</v>
      </c>
      <c r="I1">
        <v>2019</v>
      </c>
      <c r="J1">
        <v>2020</v>
      </c>
      <c r="K1">
        <v>2021</v>
      </c>
      <c r="L1">
        <v>2022</v>
      </c>
      <c r="M1">
        <v>2023</v>
      </c>
      <c r="N1">
        <v>2024</v>
      </c>
      <c r="O1">
        <v>2025</v>
      </c>
      <c r="P1">
        <v>2026</v>
      </c>
      <c r="Q1">
        <v>2027</v>
      </c>
      <c r="R1">
        <v>2028</v>
      </c>
      <c r="S1">
        <v>2029</v>
      </c>
      <c r="T1">
        <v>2030</v>
      </c>
    </row>
    <row r="2" spans="1:20">
      <c r="A2" s="22" t="s">
        <v>44</v>
      </c>
      <c r="B2" t="s">
        <v>0</v>
      </c>
      <c r="C2" s="4"/>
      <c r="D2" s="4"/>
      <c r="E2" s="4"/>
      <c r="F2" s="4">
        <v>24300</v>
      </c>
      <c r="G2" s="4">
        <v>28900</v>
      </c>
      <c r="H2" s="4">
        <v>31300</v>
      </c>
      <c r="I2" s="4">
        <v>32400</v>
      </c>
      <c r="J2" s="4">
        <v>35600</v>
      </c>
      <c r="K2" s="4">
        <v>46100</v>
      </c>
      <c r="L2" s="4"/>
      <c r="M2" s="4"/>
      <c r="N2" s="4"/>
      <c r="O2" s="4"/>
      <c r="P2" s="4"/>
      <c r="Q2" s="4"/>
      <c r="R2" s="4"/>
      <c r="S2" s="4"/>
      <c r="T2" s="4"/>
    </row>
    <row r="3" spans="1:20">
      <c r="A3" s="22"/>
      <c r="B3" s="10" t="s">
        <v>1</v>
      </c>
      <c r="C3" s="4"/>
      <c r="D3" s="4"/>
      <c r="E3" s="4"/>
      <c r="F3" s="4"/>
      <c r="G3" s="4"/>
      <c r="H3" s="4">
        <v>29990</v>
      </c>
      <c r="I3" s="4">
        <v>30300</v>
      </c>
      <c r="J3" s="4">
        <v>31790</v>
      </c>
      <c r="K3" s="4">
        <v>39800</v>
      </c>
      <c r="L3" s="4"/>
      <c r="M3" s="4"/>
      <c r="N3" s="4"/>
      <c r="O3" s="4"/>
      <c r="P3" s="4"/>
      <c r="Q3" s="4"/>
      <c r="R3" s="4"/>
      <c r="S3" s="4"/>
      <c r="T3" s="4"/>
    </row>
    <row r="4" spans="1:20">
      <c r="A4" s="22"/>
      <c r="B4" s="10" t="s">
        <v>2</v>
      </c>
      <c r="C4" s="4"/>
      <c r="D4" s="4"/>
      <c r="E4" s="4"/>
      <c r="F4" s="4"/>
      <c r="G4" s="4"/>
      <c r="H4" s="4">
        <v>1072.7</v>
      </c>
      <c r="I4" s="4">
        <v>1709.6</v>
      </c>
      <c r="J4" s="4">
        <v>3269.2</v>
      </c>
      <c r="K4" s="4"/>
      <c r="L4" s="4"/>
      <c r="M4" s="4"/>
      <c r="N4" s="4"/>
      <c r="O4" s="4"/>
      <c r="P4" s="4"/>
      <c r="Q4" s="4"/>
      <c r="R4" s="4"/>
      <c r="S4" s="4"/>
      <c r="T4" s="4"/>
    </row>
    <row r="5" spans="1:20">
      <c r="A5" s="22"/>
      <c r="B5" s="10" t="s">
        <v>4</v>
      </c>
      <c r="C5" s="4"/>
      <c r="D5" s="4"/>
      <c r="E5" s="4"/>
      <c r="F5" s="4"/>
      <c r="G5" s="4"/>
      <c r="H5" s="4">
        <f>H2*H19</f>
        <v>219.1</v>
      </c>
      <c r="I5" s="4">
        <f>I2*I19</f>
        <v>421.2</v>
      </c>
      <c r="J5" s="4">
        <f>J2*J19</f>
        <v>534</v>
      </c>
      <c r="K5" s="4">
        <f>K2*K19</f>
        <v>553.20000000000005</v>
      </c>
      <c r="L5" s="4"/>
      <c r="M5" s="4"/>
      <c r="N5" s="4"/>
      <c r="O5" s="4"/>
      <c r="P5" s="4"/>
      <c r="Q5" s="4"/>
      <c r="R5" s="4"/>
      <c r="S5" s="4"/>
      <c r="T5" s="4"/>
    </row>
    <row r="6" spans="1:20">
      <c r="A6" s="22"/>
      <c r="B6" s="10" t="s">
        <v>3</v>
      </c>
      <c r="C6" s="4"/>
      <c r="D6" s="4"/>
      <c r="E6" s="4"/>
      <c r="F6" s="4"/>
      <c r="G6" s="4"/>
      <c r="H6" s="4"/>
      <c r="I6" s="4"/>
      <c r="J6" s="4">
        <f>J2*0.0003</f>
        <v>10.68</v>
      </c>
      <c r="K6" s="4">
        <f>K29*K16</f>
        <v>183.35040000000001</v>
      </c>
      <c r="L6" s="4">
        <f>L16*L29</f>
        <v>174</v>
      </c>
      <c r="M6" s="4"/>
      <c r="N6" s="4"/>
      <c r="O6" s="4"/>
      <c r="P6" s="4"/>
      <c r="Q6" s="4"/>
      <c r="R6" s="4"/>
      <c r="S6" s="4"/>
      <c r="T6" s="4"/>
    </row>
    <row r="7" spans="1:20">
      <c r="A7" s="22"/>
      <c r="B7" s="10" t="s">
        <v>5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</row>
    <row r="8" spans="1:20">
      <c r="A8" s="22"/>
    </row>
    <row r="9" spans="1:20">
      <c r="A9" s="22"/>
      <c r="B9" s="12" t="s">
        <v>2</v>
      </c>
      <c r="C9" s="13">
        <v>44</v>
      </c>
      <c r="D9" s="13">
        <v>71</v>
      </c>
      <c r="E9" s="13">
        <v>132</v>
      </c>
      <c r="F9" s="13">
        <v>243</v>
      </c>
      <c r="G9" s="13">
        <v>389.8</v>
      </c>
      <c r="H9" s="13">
        <v>1072.7</v>
      </c>
      <c r="I9" s="13">
        <v>1709.6</v>
      </c>
      <c r="J9" s="13">
        <v>3269.2</v>
      </c>
      <c r="K9" s="13">
        <f>SUM(K10:K13)</f>
        <v>5540.6198999999997</v>
      </c>
      <c r="L9" s="13">
        <f>SUM(L10:L13)</f>
        <v>8526</v>
      </c>
      <c r="M9" s="4"/>
      <c r="N9" s="4"/>
      <c r="O9" s="4"/>
      <c r="P9" s="4"/>
      <c r="Q9" s="4"/>
      <c r="R9" s="4"/>
      <c r="S9" s="4"/>
      <c r="T9" s="4"/>
    </row>
    <row r="10" spans="1:20">
      <c r="A10" s="22"/>
      <c r="B10" s="10" t="s">
        <v>6</v>
      </c>
      <c r="C10" s="4"/>
      <c r="D10" s="4"/>
      <c r="E10" s="4"/>
      <c r="F10" s="4">
        <f>F9*F25</f>
        <v>143.37</v>
      </c>
      <c r="G10" s="4">
        <f>G9*G25</f>
        <v>226.084</v>
      </c>
      <c r="H10" s="4">
        <v>758.8</v>
      </c>
      <c r="I10" s="4">
        <v>1378.3</v>
      </c>
      <c r="J10" s="4">
        <v>2902.4</v>
      </c>
      <c r="K10" s="4">
        <f t="shared" ref="K10:L13" si="0">K$16*K25</f>
        <v>5139.5409</v>
      </c>
      <c r="L10" s="4">
        <f t="shared" si="0"/>
        <v>8221.5</v>
      </c>
      <c r="M10" s="4"/>
      <c r="N10" s="4"/>
      <c r="O10" s="4"/>
      <c r="P10" s="4"/>
      <c r="Q10" s="4"/>
      <c r="R10" s="4"/>
      <c r="S10" s="4"/>
      <c r="T10" s="4"/>
    </row>
    <row r="11" spans="1:20">
      <c r="A11" s="22"/>
      <c r="B11" s="10" t="s">
        <v>7</v>
      </c>
      <c r="C11" s="4"/>
      <c r="D11" s="4"/>
      <c r="E11" s="4"/>
      <c r="F11" s="4"/>
      <c r="G11" s="4"/>
      <c r="H11" s="4">
        <f t="shared" ref="H11:I11" si="1">H$9*H26</f>
        <v>291.77440000000001</v>
      </c>
      <c r="I11" s="4">
        <f t="shared" si="1"/>
        <v>304.30879999999996</v>
      </c>
      <c r="J11" s="4">
        <f>J$9*J26</f>
        <v>333.45839999999998</v>
      </c>
      <c r="K11" s="4">
        <f t="shared" si="0"/>
        <v>338.0523</v>
      </c>
      <c r="L11" s="4">
        <f t="shared" si="0"/>
        <v>147.9</v>
      </c>
      <c r="M11" s="4"/>
      <c r="N11" s="4"/>
      <c r="O11" s="4"/>
      <c r="P11" s="4"/>
      <c r="Q11" s="4"/>
      <c r="R11" s="4"/>
      <c r="S11" s="4"/>
      <c r="T11" s="4"/>
    </row>
    <row r="12" spans="1:20">
      <c r="A12" s="22"/>
      <c r="B12" s="10" t="s">
        <v>8</v>
      </c>
      <c r="C12" s="4"/>
      <c r="D12" s="4"/>
      <c r="E12" s="4"/>
      <c r="F12" s="4"/>
      <c r="G12" s="4"/>
      <c r="H12" s="4">
        <f t="shared" ref="H12:J13" si="2">H$9*H27</f>
        <v>16.090499999999999</v>
      </c>
      <c r="I12" s="4">
        <f t="shared" si="2"/>
        <v>20.5152</v>
      </c>
      <c r="J12" s="4">
        <f t="shared" si="2"/>
        <v>22.884399999999999</v>
      </c>
      <c r="K12" s="4">
        <f t="shared" si="0"/>
        <v>51.567299999999996</v>
      </c>
      <c r="L12" s="4">
        <f t="shared" si="0"/>
        <v>139.20000000000002</v>
      </c>
      <c r="M12" s="4"/>
      <c r="N12" s="4"/>
      <c r="O12" s="4"/>
      <c r="P12" s="4"/>
      <c r="Q12" s="4"/>
      <c r="R12" s="4"/>
      <c r="S12" s="4"/>
      <c r="T12" s="4"/>
    </row>
    <row r="13" spans="1:20">
      <c r="A13" s="22"/>
      <c r="B13" s="10" t="s">
        <v>9</v>
      </c>
      <c r="C13" s="4"/>
      <c r="D13" s="4"/>
      <c r="E13" s="4"/>
      <c r="F13" s="4"/>
      <c r="G13" s="4"/>
      <c r="H13" s="4">
        <f t="shared" si="2"/>
        <v>6.4362000000000004</v>
      </c>
      <c r="I13" s="4">
        <f t="shared" si="2"/>
        <v>6.8384</v>
      </c>
      <c r="J13" s="4">
        <f t="shared" si="2"/>
        <v>6.5384000000000002</v>
      </c>
      <c r="K13" s="4">
        <f t="shared" si="0"/>
        <v>11.4594</v>
      </c>
      <c r="L13" s="4">
        <f t="shared" si="0"/>
        <v>17.400000000000002</v>
      </c>
      <c r="M13" s="4"/>
      <c r="N13" s="4"/>
      <c r="O13" s="4"/>
      <c r="P13" s="4"/>
      <c r="Q13" s="4"/>
      <c r="R13" s="4"/>
      <c r="S13" s="4"/>
      <c r="T13" s="4"/>
    </row>
    <row r="14" spans="1:20">
      <c r="A14" s="22"/>
      <c r="B14" t="s">
        <v>10</v>
      </c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</row>
    <row r="15" spans="1:20">
      <c r="A15" s="22"/>
    </row>
    <row r="16" spans="1:20">
      <c r="A16" s="22"/>
      <c r="B16" t="s">
        <v>11</v>
      </c>
      <c r="C16" s="4"/>
      <c r="D16" s="4"/>
      <c r="E16" s="4"/>
      <c r="F16" s="4"/>
      <c r="G16" s="4"/>
      <c r="H16" s="4"/>
      <c r="I16" s="4"/>
      <c r="J16" s="4"/>
      <c r="K16" s="4">
        <v>5729.7</v>
      </c>
      <c r="L16" s="4">
        <v>8700</v>
      </c>
      <c r="M16" s="4"/>
      <c r="N16" s="4"/>
      <c r="O16" s="4"/>
      <c r="P16" s="4"/>
      <c r="Q16" s="4"/>
      <c r="R16" s="4"/>
      <c r="S16" s="4"/>
      <c r="T16" s="4"/>
    </row>
    <row r="17" spans="1:12">
      <c r="A17" s="22"/>
      <c r="B17" t="s">
        <v>1</v>
      </c>
      <c r="G17" s="1"/>
      <c r="H17" s="1">
        <v>0.95799999999999996</v>
      </c>
      <c r="I17" s="1">
        <v>0.93400000000000005</v>
      </c>
      <c r="J17" s="1">
        <v>0.89300000000000002</v>
      </c>
      <c r="K17" s="1">
        <v>0.86299999999999999</v>
      </c>
    </row>
    <row r="18" spans="1:12">
      <c r="A18" s="22"/>
      <c r="B18" t="s">
        <v>2</v>
      </c>
      <c r="G18" s="1">
        <v>1.2999999999999999E-2</v>
      </c>
      <c r="H18" s="1">
        <v>3.4000000000000002E-2</v>
      </c>
      <c r="I18" s="1">
        <v>5.2999999999999999E-2</v>
      </c>
      <c r="J18" s="1">
        <v>9.1999999999999998E-2</v>
      </c>
      <c r="K18" s="1"/>
    </row>
    <row r="19" spans="1:12">
      <c r="A19" s="22"/>
      <c r="B19" t="s">
        <v>4</v>
      </c>
      <c r="G19" s="1"/>
      <c r="H19" s="1">
        <v>7.0000000000000001E-3</v>
      </c>
      <c r="I19" s="1">
        <v>1.2999999999999999E-2</v>
      </c>
      <c r="J19" s="1">
        <v>1.4999999999999999E-2</v>
      </c>
      <c r="K19" s="1">
        <v>1.2E-2</v>
      </c>
    </row>
    <row r="20" spans="1:12">
      <c r="A20" s="22"/>
      <c r="B20" t="s">
        <v>3</v>
      </c>
      <c r="G20" s="1"/>
      <c r="H20" s="1">
        <v>1E-3</v>
      </c>
      <c r="I20" s="1">
        <v>4.0000000000000002E-4</v>
      </c>
      <c r="J20" s="1">
        <v>2.9999999999999997E-4</v>
      </c>
    </row>
    <row r="21" spans="1:12">
      <c r="A21" s="22"/>
      <c r="B21" t="s">
        <v>5</v>
      </c>
      <c r="H21" s="1">
        <f>1-SUM(H17:H20)</f>
        <v>0</v>
      </c>
      <c r="I21" s="1">
        <f>1-SUM(I17:I20)</f>
        <v>-3.9999999999995595E-4</v>
      </c>
      <c r="J21" s="1">
        <f>1-SUM(J17:J20)</f>
        <v>-2.9999999999996696E-4</v>
      </c>
    </row>
    <row r="22" spans="1:12">
      <c r="A22" s="22"/>
      <c r="B22" t="s">
        <v>11</v>
      </c>
      <c r="I22" s="1"/>
      <c r="K22" s="1">
        <v>0.125</v>
      </c>
    </row>
    <row r="23" spans="1:12">
      <c r="A23" s="22"/>
    </row>
    <row r="24" spans="1:12">
      <c r="A24" s="22"/>
      <c r="B24" t="s">
        <v>2</v>
      </c>
    </row>
    <row r="25" spans="1:12">
      <c r="A25" s="22"/>
      <c r="B25" t="s">
        <v>6</v>
      </c>
      <c r="F25" s="5">
        <v>0.59</v>
      </c>
      <c r="G25" s="1">
        <v>0.57999999999999996</v>
      </c>
      <c r="H25" s="1">
        <v>0.70699999999999996</v>
      </c>
      <c r="I25" s="1">
        <v>0.80600000000000005</v>
      </c>
      <c r="J25" s="1">
        <v>0.88800000000000001</v>
      </c>
      <c r="K25" s="1">
        <v>0.89700000000000002</v>
      </c>
      <c r="L25" s="1">
        <v>0.94499999999999995</v>
      </c>
    </row>
    <row r="26" spans="1:12">
      <c r="A26" s="22"/>
      <c r="B26" t="s">
        <v>7</v>
      </c>
      <c r="G26" s="1"/>
      <c r="H26" s="1">
        <v>0.27200000000000002</v>
      </c>
      <c r="I26" s="1">
        <v>0.17799999999999999</v>
      </c>
      <c r="J26" s="1">
        <v>0.10199999999999999</v>
      </c>
      <c r="K26" s="1">
        <v>5.9000000000000004E-2</v>
      </c>
      <c r="L26" s="1">
        <v>1.7000000000000001E-2</v>
      </c>
    </row>
    <row r="27" spans="1:12">
      <c r="A27" s="22"/>
      <c r="B27" t="s">
        <v>8</v>
      </c>
      <c r="G27" s="1"/>
      <c r="H27" s="1">
        <v>1.4999999999999999E-2</v>
      </c>
      <c r="I27" s="1">
        <v>1.2E-2</v>
      </c>
      <c r="J27" s="1">
        <v>7.0000000000000001E-3</v>
      </c>
      <c r="K27" s="1">
        <v>8.9999999999999993E-3</v>
      </c>
      <c r="L27" s="1">
        <v>1.6E-2</v>
      </c>
    </row>
    <row r="28" spans="1:12">
      <c r="A28" s="22"/>
      <c r="B28" t="s">
        <v>9</v>
      </c>
      <c r="G28" s="1"/>
      <c r="H28" s="1">
        <v>6.0000000000000001E-3</v>
      </c>
      <c r="I28" s="1">
        <v>4.0000000000000001E-3</v>
      </c>
      <c r="J28" s="1">
        <v>2E-3</v>
      </c>
      <c r="K28" s="1">
        <v>2E-3</v>
      </c>
      <c r="L28" s="1">
        <v>2E-3</v>
      </c>
    </row>
    <row r="29" spans="1:12">
      <c r="A29" s="22"/>
      <c r="B29" t="s">
        <v>3</v>
      </c>
      <c r="K29" s="1">
        <v>3.2000000000000001E-2</v>
      </c>
      <c r="L29" s="1">
        <v>0.02</v>
      </c>
    </row>
    <row r="30" spans="1:12">
      <c r="A30" s="22"/>
      <c r="B30" t="s">
        <v>5</v>
      </c>
      <c r="K30" s="1">
        <v>1E-3</v>
      </c>
    </row>
    <row r="31" spans="1:12">
      <c r="A31" s="22"/>
      <c r="B31" t="s">
        <v>10</v>
      </c>
      <c r="C31" s="1">
        <f t="shared" ref="C31:J31" si="3">1-SUM(C25:C30)</f>
        <v>1</v>
      </c>
      <c r="D31" s="1">
        <f t="shared" si="3"/>
        <v>1</v>
      </c>
      <c r="E31" s="1">
        <f t="shared" si="3"/>
        <v>1</v>
      </c>
      <c r="F31" s="1">
        <f t="shared" si="3"/>
        <v>0.41000000000000003</v>
      </c>
      <c r="G31" s="1">
        <f t="shared" si="3"/>
        <v>0.42000000000000004</v>
      </c>
      <c r="H31" s="1">
        <f t="shared" si="3"/>
        <v>0</v>
      </c>
      <c r="I31" s="1">
        <f t="shared" si="3"/>
        <v>0</v>
      </c>
      <c r="J31" s="1">
        <f t="shared" si="3"/>
        <v>1.0000000000000009E-3</v>
      </c>
      <c r="K31" s="1">
        <f>1-SUM(K25:K30)</f>
        <v>0</v>
      </c>
    </row>
    <row r="32" spans="1:12">
      <c r="A32" s="22"/>
    </row>
    <row r="33" spans="1:17">
      <c r="A33" s="22"/>
    </row>
    <row r="34" spans="1:17">
      <c r="A34" s="22"/>
      <c r="O34">
        <v>30000</v>
      </c>
    </row>
    <row r="35" spans="1:17">
      <c r="A35" s="22"/>
      <c r="K35">
        <v>5729.7</v>
      </c>
      <c r="L35">
        <v>9531.7000000000007</v>
      </c>
      <c r="M35">
        <v>15260</v>
      </c>
      <c r="N35">
        <v>23750</v>
      </c>
      <c r="O35">
        <v>35440</v>
      </c>
      <c r="P35">
        <v>48510.3</v>
      </c>
    </row>
    <row r="36" spans="1:17">
      <c r="A36" s="22"/>
      <c r="K36">
        <v>5729.7</v>
      </c>
      <c r="L36">
        <v>11192.3</v>
      </c>
      <c r="M36">
        <v>18240</v>
      </c>
      <c r="N36">
        <v>32530</v>
      </c>
      <c r="O36">
        <v>56100</v>
      </c>
      <c r="P36">
        <v>79535.399999999994</v>
      </c>
    </row>
    <row r="37" spans="1:17">
      <c r="A37" s="22"/>
      <c r="J37">
        <v>3269.2</v>
      </c>
      <c r="K37" s="1">
        <v>57.908000000000001</v>
      </c>
      <c r="O37">
        <v>35519.1</v>
      </c>
    </row>
    <row r="38" spans="1:17">
      <c r="A38" s="22"/>
      <c r="J38">
        <v>3269.2</v>
      </c>
      <c r="K38">
        <v>6614.8</v>
      </c>
      <c r="O38">
        <v>55883.199999999997</v>
      </c>
    </row>
    <row r="39" spans="1:17">
      <c r="A39" s="22"/>
      <c r="I39">
        <v>1709.6</v>
      </c>
      <c r="J39">
        <v>2726.7</v>
      </c>
      <c r="N39">
        <v>15529.9</v>
      </c>
    </row>
    <row r="40" spans="1:17">
      <c r="A40" s="22"/>
      <c r="I40">
        <v>1709.6</v>
      </c>
      <c r="J40">
        <v>3092.2</v>
      </c>
      <c r="N40">
        <v>23834.799999999999</v>
      </c>
    </row>
    <row r="41" spans="1:17">
      <c r="A41" s="22"/>
      <c r="H41">
        <v>1072.7</v>
      </c>
      <c r="I41">
        <v>1914.5</v>
      </c>
      <c r="M41">
        <v>19319.2</v>
      </c>
    </row>
    <row r="42" spans="1:17">
      <c r="A42" s="22"/>
      <c r="H42">
        <v>1072.7</v>
      </c>
    </row>
    <row r="45" spans="1:17">
      <c r="A45" t="s">
        <v>45</v>
      </c>
      <c r="F45" s="10">
        <v>2016</v>
      </c>
      <c r="G45" s="4">
        <v>2017</v>
      </c>
      <c r="H45" s="10">
        <v>2018</v>
      </c>
      <c r="I45" s="4">
        <v>2019</v>
      </c>
      <c r="J45" s="10">
        <v>2020</v>
      </c>
      <c r="K45" s="4">
        <v>2021</v>
      </c>
      <c r="L45" s="10">
        <v>2022</v>
      </c>
      <c r="M45" s="4">
        <v>2023</v>
      </c>
      <c r="N45" s="10">
        <v>2024</v>
      </c>
      <c r="O45" s="4">
        <v>2025</v>
      </c>
      <c r="P45" s="10">
        <v>2026</v>
      </c>
      <c r="Q45" s="4">
        <v>2050</v>
      </c>
    </row>
    <row r="46" spans="1:17">
      <c r="B46" t="s">
        <v>16</v>
      </c>
      <c r="C46" s="1">
        <f>49.7%</f>
        <v>0.49700000000000005</v>
      </c>
      <c r="J46" s="4">
        <f>K46-SUM(Past!Y50:Y52)</f>
        <v>951.28809030000002</v>
      </c>
      <c r="K46" s="4">
        <f>C46*K49</f>
        <v>2753.6880903000001</v>
      </c>
    </row>
    <row r="47" spans="1:17">
      <c r="B47" t="s">
        <v>17</v>
      </c>
      <c r="C47" s="1">
        <v>0.27400000000000002</v>
      </c>
      <c r="D47" t="s">
        <v>189</v>
      </c>
      <c r="E47" t="s">
        <v>186</v>
      </c>
      <c r="F47">
        <v>0</v>
      </c>
      <c r="G47">
        <v>100</v>
      </c>
      <c r="H47">
        <f>G47+208</f>
        <v>308</v>
      </c>
      <c r="I47">
        <f>H47+103</f>
        <v>411</v>
      </c>
      <c r="J47" s="4">
        <f>I47+262</f>
        <v>673</v>
      </c>
      <c r="K47" s="4">
        <f>J47+SUM(Past!Y53:Y57)</f>
        <v>2181.1999999999998</v>
      </c>
      <c r="L47" s="4">
        <f>K47+Forecast!N10</f>
        <v>6666.2</v>
      </c>
      <c r="M47" s="4">
        <f>Summary!L47+3390</f>
        <v>10056.200000000001</v>
      </c>
      <c r="N47" s="4">
        <f>M47+6290</f>
        <v>16346.2</v>
      </c>
      <c r="O47">
        <f>(O35-N35)*O51+N47</f>
        <v>26135.844457189531</v>
      </c>
      <c r="P47">
        <f>(P35-O35)*P51+O47</f>
        <v>37081.403905333616</v>
      </c>
      <c r="Q47">
        <v>210000</v>
      </c>
    </row>
    <row r="48" spans="1:17">
      <c r="B48" t="s">
        <v>18</v>
      </c>
      <c r="C48" s="1">
        <v>0.22900000000000001</v>
      </c>
      <c r="J48" s="4">
        <f>K48-Past!Y58-Past!Y59</f>
        <v>436.40195709999995</v>
      </c>
      <c r="K48" s="4">
        <f>C48*K49</f>
        <v>1268.8019571</v>
      </c>
    </row>
    <row r="49" spans="2:16">
      <c r="B49" t="s">
        <v>46</v>
      </c>
      <c r="K49" s="4">
        <f>K9</f>
        <v>5540.6198999999997</v>
      </c>
    </row>
    <row r="51" spans="2:16">
      <c r="L51">
        <f>(L47-K47)/(L35-K35)</f>
        <v>1.1796422935297208</v>
      </c>
      <c r="M51">
        <f t="shared" ref="M51:N51" si="4">(M47-L47)/(M35-L35)</f>
        <v>0.59179861389941191</v>
      </c>
      <c r="N51">
        <f t="shared" si="4"/>
        <v>0.74087161366313314</v>
      </c>
      <c r="O51">
        <f>AVERAGE(L51:N51)</f>
        <v>0.83743750703075526</v>
      </c>
      <c r="P51">
        <f>O51</f>
        <v>0.83743750703075526</v>
      </c>
    </row>
    <row r="52" spans="2:16">
      <c r="L52">
        <f>(L36-K36)/(L35-K35)</f>
        <v>1.4367701209889527</v>
      </c>
      <c r="M52">
        <f t="shared" ref="M52:P52" si="5">(M36-L36)/(M35-L35)</f>
        <v>1.2303301153920014</v>
      </c>
      <c r="N52">
        <f t="shared" si="5"/>
        <v>1.6831566548881036</v>
      </c>
      <c r="O52">
        <f t="shared" si="5"/>
        <v>2.0162532078699744</v>
      </c>
      <c r="P52">
        <f t="shared" si="5"/>
        <v>1.7930269389378966</v>
      </c>
    </row>
    <row r="54" spans="2:16">
      <c r="D54" t="s">
        <v>190</v>
      </c>
      <c r="E54" t="s">
        <v>188</v>
      </c>
      <c r="J54" s="4">
        <f>J47</f>
        <v>673</v>
      </c>
      <c r="K54" s="4">
        <f>K47</f>
        <v>2181.1999999999998</v>
      </c>
      <c r="L54" s="4">
        <f>L47</f>
        <v>6666.2</v>
      </c>
      <c r="M54">
        <f>(M47-L47)*M52+L54</f>
        <v>10837.019091178885</v>
      </c>
      <c r="N54">
        <f>(N47-M47)*N52+M54</f>
        <v>21424.074450425054</v>
      </c>
      <c r="O54">
        <f>(O47-N47)*O52+N54</f>
        <v>41162.476491139954</v>
      </c>
      <c r="P54">
        <f>(P47-O47)*P52+O54</f>
        <v>60788.159443408513</v>
      </c>
    </row>
    <row r="55" spans="2:16">
      <c r="D55" t="s">
        <v>0</v>
      </c>
      <c r="E55" t="s">
        <v>187</v>
      </c>
      <c r="J55" s="4">
        <f>J54-J47</f>
        <v>0</v>
      </c>
      <c r="K55" s="4">
        <f>K54-K47</f>
        <v>0</v>
      </c>
      <c r="L55" s="4">
        <f>L54-L47</f>
        <v>0</v>
      </c>
      <c r="M55" s="4">
        <f t="shared" ref="L55:P55" si="6">M54-M47</f>
        <v>780.81909117888426</v>
      </c>
      <c r="N55" s="4">
        <f t="shared" si="6"/>
        <v>5077.8744504250535</v>
      </c>
      <c r="O55" s="4">
        <f t="shared" si="6"/>
        <v>15026.632033950424</v>
      </c>
      <c r="P55" s="4">
        <f t="shared" si="6"/>
        <v>23706.755538074896</v>
      </c>
    </row>
  </sheetData>
  <mergeCells count="1">
    <mergeCell ref="A2:A42"/>
  </mergeCells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EFD03-B286-4808-A6B8-28217E2FDCB2}">
  <dimension ref="B1:X87"/>
  <sheetViews>
    <sheetView workbookViewId="0">
      <selection activeCell="N11" sqref="N11"/>
    </sheetView>
  </sheetViews>
  <sheetFormatPr defaultRowHeight="14.4"/>
  <sheetData>
    <row r="1" spans="2:14" ht="16.8" customHeight="1">
      <c r="B1">
        <v>2021</v>
      </c>
      <c r="M1" s="27"/>
    </row>
    <row r="2" spans="2:14">
      <c r="M2" t="s">
        <v>194</v>
      </c>
    </row>
    <row r="3" spans="2:14">
      <c r="M3" t="s">
        <v>195</v>
      </c>
    </row>
    <row r="4" spans="2:14" ht="16.8">
      <c r="M4" s="26" t="s">
        <v>193</v>
      </c>
    </row>
    <row r="5" spans="2:14" ht="16.8">
      <c r="M5" s="25" t="s">
        <v>191</v>
      </c>
    </row>
    <row r="6" spans="2:14" ht="16.8">
      <c r="M6" s="26" t="s">
        <v>192</v>
      </c>
    </row>
    <row r="7" spans="2:14" ht="16.8">
      <c r="M7" s="25" t="s">
        <v>196</v>
      </c>
    </row>
    <row r="9" spans="2:14">
      <c r="M9">
        <v>2022</v>
      </c>
      <c r="N9" t="s">
        <v>197</v>
      </c>
    </row>
    <row r="10" spans="2:14">
      <c r="N10">
        <f>6900*0.65</f>
        <v>4485</v>
      </c>
    </row>
    <row r="68" spans="10:24">
      <c r="K68">
        <v>2021</v>
      </c>
      <c r="L68">
        <v>2022</v>
      </c>
      <c r="M68">
        <v>2023</v>
      </c>
      <c r="N68">
        <v>2024</v>
      </c>
      <c r="O68">
        <v>2025</v>
      </c>
      <c r="Q68" t="s">
        <v>183</v>
      </c>
      <c r="R68">
        <v>2021</v>
      </c>
      <c r="S68">
        <v>2022</v>
      </c>
      <c r="T68">
        <v>2023</v>
      </c>
      <c r="U68">
        <v>2024</v>
      </c>
      <c r="V68">
        <v>2025</v>
      </c>
    </row>
    <row r="69" spans="10:24">
      <c r="J69" t="s">
        <v>181</v>
      </c>
      <c r="K69">
        <v>495</v>
      </c>
      <c r="L69">
        <v>788</v>
      </c>
      <c r="M69">
        <v>1936</v>
      </c>
      <c r="N69">
        <v>4367</v>
      </c>
      <c r="O69">
        <v>6077</v>
      </c>
      <c r="Q69" t="s">
        <v>19</v>
      </c>
      <c r="R69" s="4">
        <v>3896.4346349745301</v>
      </c>
      <c r="S69" s="4">
        <v>7869.2699490662098</v>
      </c>
      <c r="T69" s="4">
        <v>15662.1392190152</v>
      </c>
      <c r="U69" s="4">
        <v>27351.4431239388</v>
      </c>
      <c r="V69" s="4">
        <v>40568.760611205398</v>
      </c>
    </row>
    <row r="70" spans="10:24">
      <c r="J70" t="s">
        <v>178</v>
      </c>
      <c r="K70">
        <v>260</v>
      </c>
      <c r="L70">
        <v>402</v>
      </c>
      <c r="M70">
        <v>1142</v>
      </c>
      <c r="N70">
        <v>2686</v>
      </c>
      <c r="O70">
        <v>3829</v>
      </c>
      <c r="P70">
        <f>SUM(K70:O70)</f>
        <v>8319</v>
      </c>
      <c r="Q70" t="s">
        <v>16</v>
      </c>
      <c r="R70" s="4">
        <v>2750.4244482173099</v>
      </c>
      <c r="S70" s="4">
        <v>6112.0543293718101</v>
      </c>
      <c r="T70" s="4">
        <v>12071.307300509299</v>
      </c>
      <c r="U70" s="4">
        <v>19864.1765704584</v>
      </c>
      <c r="V70" s="4">
        <v>27962.648556876</v>
      </c>
    </row>
    <row r="71" spans="10:24">
      <c r="J71" t="s">
        <v>179</v>
      </c>
      <c r="K71">
        <v>122</v>
      </c>
      <c r="L71">
        <v>205</v>
      </c>
      <c r="M71">
        <v>501</v>
      </c>
      <c r="N71">
        <v>1163</v>
      </c>
      <c r="O71">
        <v>1493</v>
      </c>
      <c r="P71">
        <f>SUM(K71:O71)</f>
        <v>3484</v>
      </c>
      <c r="Q71" t="s">
        <v>17</v>
      </c>
      <c r="R71" s="4">
        <v>534.80475382003033</v>
      </c>
      <c r="S71" s="4">
        <v>916.80814940576965</v>
      </c>
      <c r="T71" s="4">
        <v>2215.6196943973009</v>
      </c>
      <c r="U71" s="4">
        <v>4354.8387096774022</v>
      </c>
      <c r="V71" s="4">
        <v>5882.8522920204014</v>
      </c>
    </row>
    <row r="72" spans="10:24">
      <c r="J72" t="s">
        <v>180</v>
      </c>
      <c r="K72">
        <v>113</v>
      </c>
      <c r="L72">
        <v>181</v>
      </c>
      <c r="M72">
        <v>293</v>
      </c>
      <c r="N72">
        <v>518</v>
      </c>
      <c r="O72">
        <v>755</v>
      </c>
      <c r="P72">
        <f>SUM(K72:O72)</f>
        <v>1860</v>
      </c>
      <c r="Q72" t="s">
        <v>18</v>
      </c>
      <c r="R72" s="4">
        <v>611.20543293718993</v>
      </c>
      <c r="S72" s="4">
        <v>840.40747028863007</v>
      </c>
      <c r="T72" s="4">
        <v>1375.2122241085999</v>
      </c>
      <c r="U72" s="4">
        <v>3132.4278438029978</v>
      </c>
      <c r="V72" s="4">
        <v>6723.2597623089969</v>
      </c>
      <c r="W72" s="4">
        <f>SUM(R72:V72)</f>
        <v>12682.512733446414</v>
      </c>
    </row>
    <row r="74" spans="10:24">
      <c r="J74" t="s">
        <v>184</v>
      </c>
      <c r="Q74" t="s">
        <v>184</v>
      </c>
      <c r="R74">
        <v>2021</v>
      </c>
      <c r="S74">
        <v>2022</v>
      </c>
      <c r="T74">
        <v>2023</v>
      </c>
      <c r="U74">
        <v>2024</v>
      </c>
      <c r="V74">
        <v>2025</v>
      </c>
      <c r="W74" t="s">
        <v>185</v>
      </c>
    </row>
    <row r="75" spans="10:24">
      <c r="J75" t="s">
        <v>178</v>
      </c>
      <c r="K75">
        <f>K70/2</f>
        <v>130</v>
      </c>
      <c r="L75">
        <f t="shared" ref="L75:N77" si="0">L70/2</f>
        <v>201</v>
      </c>
      <c r="M75">
        <f t="shared" si="0"/>
        <v>571</v>
      </c>
      <c r="N75">
        <f t="shared" si="0"/>
        <v>1343</v>
      </c>
      <c r="O75">
        <f>O70/2</f>
        <v>1914.5</v>
      </c>
      <c r="P75" s="21">
        <f>SUM(K75:O75)</f>
        <v>4159.5</v>
      </c>
      <c r="Q75" s="21" t="s">
        <v>16</v>
      </c>
      <c r="R75" s="21">
        <f>R70/2</f>
        <v>1375.2122241086549</v>
      </c>
      <c r="S75" s="21">
        <f>S70/2.1</f>
        <v>2910.5020616056236</v>
      </c>
      <c r="T75" s="21">
        <f>T70/2.2</f>
        <v>5486.9578638678631</v>
      </c>
      <c r="U75" s="21">
        <f>U70/2.2</f>
        <v>9029.1711683901813</v>
      </c>
      <c r="V75" s="21">
        <f>V70/2.2</f>
        <v>12710.294798579998</v>
      </c>
      <c r="W75" s="21">
        <f>SUM(R75:V75)</f>
        <v>31512.13811655232</v>
      </c>
      <c r="X75" s="21"/>
    </row>
    <row r="76" spans="10:24">
      <c r="J76" t="s">
        <v>179</v>
      </c>
      <c r="K76">
        <f>K71/2</f>
        <v>61</v>
      </c>
      <c r="L76">
        <f t="shared" si="0"/>
        <v>102.5</v>
      </c>
      <c r="M76">
        <f t="shared" si="0"/>
        <v>250.5</v>
      </c>
      <c r="N76">
        <f t="shared" si="0"/>
        <v>581.5</v>
      </c>
      <c r="O76">
        <f>O71/2</f>
        <v>746.5</v>
      </c>
      <c r="P76" s="21">
        <f>SUM(K76:O76)</f>
        <v>1742</v>
      </c>
      <c r="Q76" s="21" t="s">
        <v>17</v>
      </c>
      <c r="R76" s="21">
        <f>R71/2</f>
        <v>267.40237691001516</v>
      </c>
      <c r="S76" s="21">
        <f t="shared" ref="S76:V76" si="1">S71/2</f>
        <v>458.40407470288483</v>
      </c>
      <c r="T76" s="21">
        <f t="shared" si="1"/>
        <v>1107.8098471986505</v>
      </c>
      <c r="U76" s="21">
        <f t="shared" si="1"/>
        <v>2177.4193548387011</v>
      </c>
      <c r="V76" s="21">
        <f t="shared" si="1"/>
        <v>2941.4261460102007</v>
      </c>
      <c r="W76" s="21">
        <f>SUM(R76:V76)</f>
        <v>6952.461799660452</v>
      </c>
      <c r="X76" s="21"/>
    </row>
    <row r="77" spans="10:24">
      <c r="J77" t="s">
        <v>180</v>
      </c>
      <c r="K77">
        <f>K72/2</f>
        <v>56.5</v>
      </c>
      <c r="L77">
        <f t="shared" si="0"/>
        <v>90.5</v>
      </c>
      <c r="M77">
        <f t="shared" si="0"/>
        <v>146.5</v>
      </c>
      <c r="N77">
        <f t="shared" si="0"/>
        <v>259</v>
      </c>
      <c r="O77">
        <f>O72/2</f>
        <v>377.5</v>
      </c>
      <c r="P77" s="21">
        <f>SUM(K77:O77)</f>
        <v>930</v>
      </c>
      <c r="Q77" s="21" t="s">
        <v>18</v>
      </c>
      <c r="R77" s="21">
        <f t="shared" ref="R77:U77" si="2">R72*($W77/$W72)</f>
        <v>287.5277148813185</v>
      </c>
      <c r="S77" s="21">
        <f t="shared" si="2"/>
        <v>395.35060796181006</v>
      </c>
      <c r="T77" s="21">
        <f t="shared" si="2"/>
        <v>646.93735848293011</v>
      </c>
      <c r="U77" s="21">
        <f t="shared" si="2"/>
        <v>1473.5795387667099</v>
      </c>
      <c r="V77" s="21">
        <f>V72*($W77/$W72)</f>
        <v>3162.80486369446</v>
      </c>
      <c r="W77" s="21">
        <f>W79-W75-W76-Q84</f>
        <v>5966.2000837872283</v>
      </c>
      <c r="X77" s="21"/>
    </row>
    <row r="78" spans="10:24">
      <c r="P78" s="21"/>
      <c r="Q78" s="21" t="s">
        <v>19</v>
      </c>
      <c r="R78" s="21">
        <f>SUM(R75:R77)</f>
        <v>1930.1423158999887</v>
      </c>
      <c r="S78" s="21">
        <f t="shared" ref="S78:V78" si="3">SUM(S75:S77)</f>
        <v>3764.2567442703184</v>
      </c>
      <c r="T78" s="21">
        <f t="shared" si="3"/>
        <v>7241.7050695494436</v>
      </c>
      <c r="U78" s="21">
        <f t="shared" si="3"/>
        <v>12680.170061995592</v>
      </c>
      <c r="V78" s="21">
        <f t="shared" si="3"/>
        <v>18814.525808284659</v>
      </c>
      <c r="W78" s="21"/>
      <c r="X78" s="21"/>
    </row>
    <row r="79" spans="10:24">
      <c r="P79" s="21"/>
      <c r="Q79" s="21"/>
      <c r="R79" s="21"/>
      <c r="S79" s="21"/>
      <c r="T79" s="21"/>
      <c r="U79" s="21"/>
      <c r="V79" s="21"/>
      <c r="W79" s="21">
        <f>47700</f>
        <v>47700</v>
      </c>
      <c r="X79" s="21"/>
    </row>
    <row r="80" spans="10:24">
      <c r="P80" s="21"/>
      <c r="Q80" s="21"/>
      <c r="R80" s="21"/>
      <c r="S80" s="21"/>
      <c r="T80" s="21"/>
      <c r="U80" s="21"/>
      <c r="V80" s="21"/>
      <c r="W80" s="21"/>
      <c r="X80" s="21"/>
    </row>
    <row r="81" spans="15:24">
      <c r="P81" s="21"/>
      <c r="Q81" s="21"/>
      <c r="R81" s="21"/>
      <c r="S81" s="21"/>
      <c r="T81" s="21"/>
      <c r="U81" s="21"/>
      <c r="V81" s="21"/>
      <c r="W81" s="21"/>
      <c r="X81" s="21"/>
    </row>
    <row r="82" spans="15:24">
      <c r="P82" s="21" t="s">
        <v>182</v>
      </c>
      <c r="Q82" s="21"/>
      <c r="R82" s="21"/>
      <c r="S82" s="21"/>
      <c r="T82" s="21"/>
      <c r="U82" s="21"/>
      <c r="V82" s="21"/>
      <c r="W82" s="21"/>
      <c r="X82" s="21"/>
    </row>
    <row r="83" spans="15:24">
      <c r="P83" s="21">
        <v>2019</v>
      </c>
      <c r="Q83" s="21">
        <v>2020</v>
      </c>
      <c r="R83" s="21">
        <v>2021</v>
      </c>
      <c r="S83" s="21">
        <v>2022</v>
      </c>
      <c r="T83" s="21">
        <v>2023</v>
      </c>
      <c r="U83" s="21">
        <v>2024</v>
      </c>
      <c r="V83" s="21">
        <v>2025</v>
      </c>
      <c r="W83" s="21"/>
      <c r="X83" s="21"/>
    </row>
    <row r="84" spans="15:24">
      <c r="O84" t="s">
        <v>19</v>
      </c>
      <c r="P84" s="21">
        <f>Summary!I9</f>
        <v>1709.6</v>
      </c>
      <c r="Q84" s="21">
        <f>Summary!J9</f>
        <v>3269.2</v>
      </c>
      <c r="R84" s="21">
        <f>Q84+R78</f>
        <v>5199.3423158999885</v>
      </c>
      <c r="S84" s="21">
        <f t="shared" ref="S84:V84" si="4">R84+S78</f>
        <v>8963.599060170307</v>
      </c>
      <c r="T84" s="21">
        <f t="shared" si="4"/>
        <v>16205.304129719751</v>
      </c>
      <c r="U84" s="21">
        <f t="shared" si="4"/>
        <v>28885.474191715344</v>
      </c>
      <c r="V84" s="21">
        <f t="shared" si="4"/>
        <v>47700</v>
      </c>
      <c r="W84" s="21"/>
      <c r="X84" s="21"/>
    </row>
    <row r="85" spans="15:24">
      <c r="O85" s="21" t="s">
        <v>16</v>
      </c>
      <c r="P85" s="21"/>
      <c r="Q85" s="21">
        <f>Summary!J46</f>
        <v>951.28809030000002</v>
      </c>
      <c r="R85" s="21">
        <f>Q85+R75</f>
        <v>2326.500314408655</v>
      </c>
      <c r="S85" s="21">
        <f t="shared" ref="S85:V85" si="5">R85+S75</f>
        <v>5237.0023760142785</v>
      </c>
      <c r="T85" s="21">
        <f t="shared" si="5"/>
        <v>10723.960239882141</v>
      </c>
      <c r="U85" s="21">
        <f t="shared" si="5"/>
        <v>19753.131408272322</v>
      </c>
      <c r="V85" s="21">
        <f t="shared" si="5"/>
        <v>32463.42620685232</v>
      </c>
      <c r="W85" s="21"/>
      <c r="X85" s="21"/>
    </row>
    <row r="86" spans="15:24">
      <c r="O86" s="21" t="s">
        <v>17</v>
      </c>
      <c r="P86" s="21"/>
      <c r="Q86" s="21">
        <f>Summary!J47</f>
        <v>673</v>
      </c>
      <c r="R86" s="21">
        <f t="shared" ref="R86:V87" si="6">Q86+R76</f>
        <v>940.40237691001516</v>
      </c>
      <c r="S86" s="21">
        <f t="shared" si="6"/>
        <v>1398.8064516129</v>
      </c>
      <c r="T86" s="21">
        <f t="shared" si="6"/>
        <v>2506.6162988115502</v>
      </c>
      <c r="U86" s="21">
        <f t="shared" si="6"/>
        <v>4684.0356536502513</v>
      </c>
      <c r="V86" s="21">
        <f t="shared" si="6"/>
        <v>7625.461799660452</v>
      </c>
      <c r="W86" s="21"/>
      <c r="X86" s="21"/>
    </row>
    <row r="87" spans="15:24">
      <c r="O87" s="21" t="s">
        <v>18</v>
      </c>
      <c r="P87" s="21"/>
      <c r="Q87" s="21">
        <f>Summary!J48</f>
        <v>436.40195709999995</v>
      </c>
      <c r="R87" s="21">
        <f t="shared" si="6"/>
        <v>723.92967198131851</v>
      </c>
      <c r="S87" s="21">
        <f t="shared" si="6"/>
        <v>1119.2802799431286</v>
      </c>
      <c r="T87" s="21">
        <f t="shared" si="6"/>
        <v>1766.2176384260588</v>
      </c>
      <c r="U87" s="21">
        <f t="shared" si="6"/>
        <v>3239.7971771927687</v>
      </c>
      <c r="V87" s="21">
        <f t="shared" si="6"/>
        <v>6402.6020408872282</v>
      </c>
      <c r="W87" s="21"/>
      <c r="X87" s="21"/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545B2-9447-4BC4-A487-01576E60DDE8}">
  <dimension ref="M2:AA81"/>
  <sheetViews>
    <sheetView topLeftCell="A10" zoomScale="85" zoomScaleNormal="85" workbookViewId="0">
      <selection activeCell="S36" sqref="S36:AA39"/>
    </sheetView>
  </sheetViews>
  <sheetFormatPr defaultRowHeight="14.4"/>
  <cols>
    <col min="20" max="24" width="12.21875" customWidth="1"/>
    <col min="25" max="25" width="12.21875" style="4" customWidth="1"/>
    <col min="26" max="26" width="12.21875" customWidth="1"/>
  </cols>
  <sheetData>
    <row r="2" spans="20:26">
      <c r="T2" t="s">
        <v>35</v>
      </c>
      <c r="Y2"/>
    </row>
    <row r="3" spans="20:26">
      <c r="T3" t="s">
        <v>36</v>
      </c>
      <c r="Y3"/>
    </row>
    <row r="4" spans="20:26">
      <c r="T4" t="s">
        <v>37</v>
      </c>
      <c r="Y4"/>
    </row>
    <row r="5" spans="20:26">
      <c r="U5" t="s">
        <v>38</v>
      </c>
      <c r="V5" t="s">
        <v>39</v>
      </c>
      <c r="W5" t="s">
        <v>40</v>
      </c>
      <c r="X5" t="s">
        <v>41</v>
      </c>
      <c r="Y5" t="s">
        <v>42</v>
      </c>
      <c r="Z5" t="s">
        <v>43</v>
      </c>
    </row>
    <row r="6" spans="20:26">
      <c r="T6">
        <v>2015</v>
      </c>
      <c r="U6">
        <v>0</v>
      </c>
      <c r="V6">
        <v>0.2</v>
      </c>
      <c r="W6">
        <v>0.1</v>
      </c>
      <c r="X6">
        <v>0</v>
      </c>
      <c r="Y6">
        <v>0</v>
      </c>
      <c r="Z6">
        <v>0</v>
      </c>
    </row>
    <row r="7" spans="20:26">
      <c r="T7">
        <v>2016</v>
      </c>
      <c r="U7">
        <v>0.1</v>
      </c>
      <c r="V7">
        <v>0.2</v>
      </c>
      <c r="W7">
        <v>0.1</v>
      </c>
      <c r="X7">
        <v>0.2</v>
      </c>
      <c r="Y7">
        <v>0.1</v>
      </c>
      <c r="Z7">
        <v>0</v>
      </c>
    </row>
    <row r="8" spans="20:26">
      <c r="T8">
        <v>2017</v>
      </c>
      <c r="U8">
        <v>0.1</v>
      </c>
      <c r="V8">
        <v>0.2</v>
      </c>
      <c r="W8">
        <v>0.3</v>
      </c>
      <c r="X8">
        <v>0.2</v>
      </c>
      <c r="Y8">
        <v>0</v>
      </c>
      <c r="Z8">
        <v>0.2</v>
      </c>
    </row>
    <row r="9" spans="20:26">
      <c r="T9">
        <v>2018</v>
      </c>
      <c r="U9">
        <v>0.3</v>
      </c>
      <c r="V9">
        <v>0.3</v>
      </c>
      <c r="W9">
        <v>0.6</v>
      </c>
      <c r="X9">
        <v>0.3</v>
      </c>
      <c r="Y9">
        <v>0</v>
      </c>
      <c r="Z9">
        <v>0.1</v>
      </c>
    </row>
    <row r="10" spans="20:26">
      <c r="T10">
        <v>2019</v>
      </c>
      <c r="U10">
        <v>0.4</v>
      </c>
      <c r="V10">
        <v>0.3</v>
      </c>
      <c r="W10">
        <v>0.5</v>
      </c>
      <c r="X10">
        <v>0.2</v>
      </c>
      <c r="Y10">
        <v>0</v>
      </c>
      <c r="Z10">
        <v>0.2</v>
      </c>
    </row>
    <row r="11" spans="20:26">
      <c r="T11">
        <v>2020</v>
      </c>
      <c r="U11">
        <v>0.9</v>
      </c>
      <c r="V11">
        <v>1.1000000000000001</v>
      </c>
      <c r="W11">
        <v>0.5</v>
      </c>
      <c r="X11">
        <v>0.7</v>
      </c>
      <c r="Y11">
        <v>0.1</v>
      </c>
      <c r="Z11">
        <v>0.1</v>
      </c>
    </row>
    <row r="12" spans="20:26">
      <c r="T12">
        <v>2021</v>
      </c>
      <c r="U12">
        <v>1.9</v>
      </c>
      <c r="V12">
        <v>2.9</v>
      </c>
      <c r="W12">
        <v>1</v>
      </c>
      <c r="X12">
        <v>0.1</v>
      </c>
      <c r="Y12">
        <v>0</v>
      </c>
      <c r="Z12">
        <v>0.5</v>
      </c>
    </row>
    <row r="40" spans="25:25">
      <c r="Y40" s="4">
        <v>6268</v>
      </c>
    </row>
    <row r="49" spans="23:27">
      <c r="Y49" s="4" t="s">
        <v>34</v>
      </c>
    </row>
    <row r="50" spans="23:27">
      <c r="W50" t="s">
        <v>16</v>
      </c>
      <c r="X50" t="s">
        <v>20</v>
      </c>
      <c r="Y50" s="4">
        <v>814.7</v>
      </c>
      <c r="Z50" s="1">
        <f>Y50/Y$60</f>
        <v>0.19664494327781801</v>
      </c>
      <c r="AA50" s="1">
        <f>Z50+Z51+Z52</f>
        <v>0.43504706734250542</v>
      </c>
    </row>
    <row r="51" spans="23:27">
      <c r="W51" t="s">
        <v>16</v>
      </c>
      <c r="X51" t="s">
        <v>21</v>
      </c>
      <c r="Y51" s="4">
        <v>630.1</v>
      </c>
      <c r="Z51" s="1">
        <f t="shared" ref="Z51:Z59" si="0">Y51/Y$60</f>
        <v>0.15208785903934346</v>
      </c>
    </row>
    <row r="52" spans="23:27">
      <c r="W52" t="s">
        <v>16</v>
      </c>
      <c r="X52" t="s">
        <v>22</v>
      </c>
      <c r="Y52" s="4">
        <v>357.6</v>
      </c>
      <c r="Z52" s="1">
        <f t="shared" si="0"/>
        <v>8.6314265025343964E-2</v>
      </c>
    </row>
    <row r="53" spans="23:27">
      <c r="W53" t="s">
        <v>17</v>
      </c>
      <c r="X53" t="s">
        <v>20</v>
      </c>
      <c r="Y53" s="4">
        <v>537.5</v>
      </c>
      <c r="Z53" s="1">
        <f t="shared" si="0"/>
        <v>0.12973690562394399</v>
      </c>
      <c r="AA53" s="1">
        <f>Z53+Z54+Z55+Z56+Z57</f>
        <v>0.3640357229061067</v>
      </c>
    </row>
    <row r="54" spans="23:27">
      <c r="W54" t="s">
        <v>17</v>
      </c>
      <c r="X54" t="s">
        <v>21</v>
      </c>
      <c r="Y54" s="4">
        <v>526.6</v>
      </c>
      <c r="Z54" s="1">
        <f t="shared" si="0"/>
        <v>0.12710596186338402</v>
      </c>
    </row>
    <row r="55" spans="23:27">
      <c r="W55" t="s">
        <v>17</v>
      </c>
      <c r="X55" t="s">
        <v>23</v>
      </c>
      <c r="Y55" s="4">
        <v>263.3</v>
      </c>
      <c r="Z55" s="1">
        <f t="shared" si="0"/>
        <v>6.355298093169201E-2</v>
      </c>
    </row>
    <row r="56" spans="23:27">
      <c r="W56" t="s">
        <v>17</v>
      </c>
      <c r="X56" t="s">
        <v>20</v>
      </c>
      <c r="Y56" s="4">
        <v>129.69999999999999</v>
      </c>
      <c r="Z56" s="1">
        <f t="shared" si="0"/>
        <v>3.1305817040791696E-2</v>
      </c>
    </row>
    <row r="57" spans="23:27">
      <c r="W57" t="s">
        <v>17</v>
      </c>
      <c r="X57" t="s">
        <v>24</v>
      </c>
      <c r="Y57" s="4">
        <v>51.1</v>
      </c>
      <c r="Z57" s="1">
        <f t="shared" si="0"/>
        <v>1.2334057446294957E-2</v>
      </c>
    </row>
    <row r="58" spans="23:27">
      <c r="W58" t="s">
        <v>18</v>
      </c>
      <c r="X58" t="s">
        <v>25</v>
      </c>
      <c r="Y58" s="4">
        <v>689.6</v>
      </c>
      <c r="Z58" s="1">
        <f t="shared" si="0"/>
        <v>0.16644943277818006</v>
      </c>
      <c r="AA58" s="1">
        <f>Z58+Z59</f>
        <v>0.20091720975138788</v>
      </c>
    </row>
    <row r="59" spans="23:27">
      <c r="W59" t="s">
        <v>18</v>
      </c>
      <c r="X59" t="s">
        <v>24</v>
      </c>
      <c r="Y59" s="4">
        <v>142.80000000000001</v>
      </c>
      <c r="Z59" s="1">
        <f t="shared" si="0"/>
        <v>3.4467776973207825E-2</v>
      </c>
    </row>
    <row r="60" spans="23:27">
      <c r="W60" t="s">
        <v>19</v>
      </c>
      <c r="Y60" s="4">
        <f>SUM(Y50:Y59)</f>
        <v>4143</v>
      </c>
    </row>
    <row r="61" spans="23:27">
      <c r="W61" s="22" t="s">
        <v>30</v>
      </c>
      <c r="X61" s="22"/>
      <c r="Y61" s="22"/>
    </row>
    <row r="79" spans="13:13" ht="17.399999999999999">
      <c r="M79" s="11" t="s">
        <v>31</v>
      </c>
    </row>
    <row r="80" spans="13:13" ht="17.399999999999999">
      <c r="M80" s="11" t="s">
        <v>32</v>
      </c>
    </row>
    <row r="81" spans="13:13">
      <c r="M81" s="2" t="s">
        <v>33</v>
      </c>
    </row>
  </sheetData>
  <mergeCells count="1">
    <mergeCell ref="W61:Y61"/>
  </mergeCells>
  <phoneticPr fontId="2" type="noConversion"/>
  <hyperlinks>
    <hyperlink ref="M81" r:id="rId1" location=":~:text=%E6%88%AA%E8%87%B32021%E5%B9%B4%E5%BA%95%EF%BC%8C%E5%85%A8%E5%9B%BD%E5%82%A8%E8%83%BD%E8%A3%85%E6%9C%BA%E8%A7%84%E6%A8%A1%E8%BE%BE%E5%88%B04266%E4%B8%87%E5%8D%83%E7%93%A6%EF%BC%8C%E5%85%B6%E4%B8%AD%E6%96%B0%E5%9E%8B%E5%82%A8%E8%83%BD%E8%A3%85%E6%9C%BA626.8%E4%B8%87%E5%8D%83%E7%93%A6%EF%BC%8C%E5%90%8C%E6%AF%94%E5%A2%9E%E9%95%BF56.4%25%3B%E6%96%B0%E5%9E%8B%E5%82%A8%E8%83%BD%E4%B8%AD90%25%E4%B8%BA%E7%94%B5%E5%8C%96%E5%AD%A6%E5%82%A8%E8%83%BD%E3%80%82,%E6%88%AA%E8%87%B32021%E5%B9%B4%E5%BA%95%EF%BC%8C%E7%94%B5%E6%BA%90%E4%BE%A7%E3%80%81%E7%94%A8%E6%88%B7%E4%BE%A7%E3%80%81%E7%94%B5%E7%BD%91%E4%BE%A7%E5%82%A8%E8%83%BD%E8%A3%85%E6%9C%BA%E5%8D%A0%E6%AF%94%E5%88%86%E5%88%AB%E4%B8%BA49.7%25%E3%80%8127.4%25%E5%92%8C22.9%25%EF%BC%8C%E7%94%B5%E6%BA%90%E4%BE%A7%E5%82%A8%E8%83%BD%E6%8E%A5%E8%BF%91%E8%A3%85%E6%9C%BA%E7%9A%84%E4%B8%80%E5%8D%8A%E3%80%82" display="http://mm.chinapower.com.cn/zx/zxbg/20230203/186424.html - :~:text=%E6%88%AA%E8%87%B32021%E5%B9%B4%E5%BA%95%EF%BC%8C%E5%85%A8%E5%9B%BD%E5%82%A8%E8%83%BD%E8%A3%85%E6%9C%BA%E8%A7%84%E6%A8%A1%E8%BE%BE%E5%88%B04266%E4%B8%87%E5%8D%83%E7%93%A6%EF%BC%8C%E5%85%B6%E4%B8%AD%E6%96%B0%E5%9E%8B%E5%82%A8%E8%83%BD%E8%A3%85%E6%9C%BA626.8%E4%B8%87%E5%8D%83%E7%93%A6%EF%BC%8C%E5%90%8C%E6%AF%94%E5%A2%9E%E9%95%BF56.4%25%3B%E6%96%B0%E5%9E%8B%E5%82%A8%E8%83%BD%E4%B8%AD90%25%E4%B8%BA%E7%94%B5%E5%8C%96%E5%AD%A6%E5%82%A8%E8%83%BD%E3%80%82,%E6%88%AA%E8%87%B32021%E5%B9%B4%E5%BA%95%EF%BC%8C%E7%94%B5%E6%BA%90%E4%BE%A7%E3%80%81%E7%94%A8%E6%88%B7%E4%BE%A7%E3%80%81%E7%94%B5%E7%BD%91%E4%BE%A7%E5%82%A8%E8%83%BD%E8%A3%85%E6%9C%BA%E5%8D%A0%E6%AF%94%E5%88%86%E5%88%AB%E4%B8%BA49.7%25%E3%80%8127.4%25%E5%92%8C22.9%25%EF%BC%8C%E7%94%B5%E6%BA%90%E4%BE%A7%E5%82%A8%E8%83%BD%E6%8E%A5%E8%BF%91%E8%A3%85%E6%9C%BA%E7%9A%84%E4%B8%80%E5%8D%8A%E3%80%82" xr:uid="{81B287E6-2513-485B-9878-962F5BF019E8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81297-91C6-46EB-BE7D-59C59FA0D98A}">
  <dimension ref="A1:J58"/>
  <sheetViews>
    <sheetView workbookViewId="0">
      <selection activeCell="O17" sqref="O17"/>
    </sheetView>
  </sheetViews>
  <sheetFormatPr defaultColWidth="9" defaultRowHeight="13.2"/>
  <cols>
    <col min="1" max="1" width="49.21875" style="15" customWidth="1"/>
    <col min="2" max="2" width="25.6640625" style="15" bestFit="1" customWidth="1"/>
    <col min="3" max="3" width="15.6640625" style="15" bestFit="1" customWidth="1"/>
    <col min="4" max="16384" width="9" style="15"/>
  </cols>
  <sheetData>
    <row r="1" spans="1:10" ht="15" customHeight="1">
      <c r="A1" s="14" t="s">
        <v>47</v>
      </c>
      <c r="B1" s="14" t="s">
        <v>48</v>
      </c>
      <c r="C1" s="14" t="s">
        <v>49</v>
      </c>
      <c r="D1" s="14" t="s">
        <v>50</v>
      </c>
      <c r="E1" s="14" t="s">
        <v>51</v>
      </c>
      <c r="F1" s="14" t="s">
        <v>52</v>
      </c>
      <c r="H1" s="15" t="s">
        <v>53</v>
      </c>
      <c r="I1" s="14" t="s">
        <v>51</v>
      </c>
      <c r="J1" s="14" t="s">
        <v>52</v>
      </c>
    </row>
    <row r="2" spans="1:10" ht="15" customHeight="1">
      <c r="A2" s="14" t="s">
        <v>54</v>
      </c>
      <c r="B2" s="14" t="s">
        <v>55</v>
      </c>
      <c r="C2" s="16" t="s">
        <v>56</v>
      </c>
      <c r="D2" s="17" t="s">
        <v>57</v>
      </c>
      <c r="E2" s="15">
        <v>5</v>
      </c>
      <c r="F2" s="15">
        <v>10</v>
      </c>
      <c r="H2" s="15" t="s">
        <v>58</v>
      </c>
      <c r="I2" s="15">
        <f t="shared" ref="I2:I11" si="0">SUMIF(D:D,H2,E:E)</f>
        <v>437.72</v>
      </c>
      <c r="J2" s="15">
        <f t="shared" ref="J2:J11" si="1">SUMIF(D:D,H2,F:F)</f>
        <v>871</v>
      </c>
    </row>
    <row r="3" spans="1:10" ht="15" customHeight="1">
      <c r="A3" s="14" t="s">
        <v>59</v>
      </c>
      <c r="B3" s="14" t="s">
        <v>60</v>
      </c>
      <c r="C3" s="16" t="s">
        <v>56</v>
      </c>
      <c r="D3" s="17" t="s">
        <v>57</v>
      </c>
      <c r="E3" s="15">
        <v>12</v>
      </c>
      <c r="F3" s="15">
        <v>24</v>
      </c>
      <c r="H3" s="15" t="s">
        <v>61</v>
      </c>
      <c r="I3" s="15">
        <f t="shared" si="0"/>
        <v>330</v>
      </c>
      <c r="J3" s="15">
        <f t="shared" si="1"/>
        <v>700</v>
      </c>
    </row>
    <row r="4" spans="1:10" ht="15" customHeight="1">
      <c r="A4" s="14" t="s">
        <v>62</v>
      </c>
      <c r="B4" s="14" t="s">
        <v>63</v>
      </c>
      <c r="C4" s="16" t="s">
        <v>56</v>
      </c>
      <c r="D4" s="17" t="s">
        <v>57</v>
      </c>
      <c r="E4" s="15">
        <v>16</v>
      </c>
      <c r="F4" s="15">
        <v>32</v>
      </c>
      <c r="H4" s="15" t="s">
        <v>64</v>
      </c>
      <c r="I4" s="15">
        <f t="shared" si="0"/>
        <v>110.39999999999999</v>
      </c>
      <c r="J4" s="15">
        <f t="shared" si="1"/>
        <v>100.8</v>
      </c>
    </row>
    <row r="5" spans="1:10" ht="15" customHeight="1">
      <c r="A5" s="14" t="s">
        <v>65</v>
      </c>
      <c r="B5" s="14" t="s">
        <v>66</v>
      </c>
      <c r="C5" s="14" t="s">
        <v>67</v>
      </c>
      <c r="D5" s="17" t="s">
        <v>57</v>
      </c>
      <c r="E5" s="15">
        <v>24</v>
      </c>
      <c r="F5" s="15">
        <v>48</v>
      </c>
      <c r="H5" s="15" t="s">
        <v>68</v>
      </c>
      <c r="I5" s="15">
        <f t="shared" si="0"/>
        <v>60</v>
      </c>
      <c r="J5" s="15">
        <f t="shared" si="1"/>
        <v>120</v>
      </c>
    </row>
    <row r="6" spans="1:10" ht="15" customHeight="1">
      <c r="A6" s="14" t="s">
        <v>69</v>
      </c>
      <c r="B6" s="14" t="s">
        <v>70</v>
      </c>
      <c r="C6" s="14" t="s">
        <v>67</v>
      </c>
      <c r="D6" s="17" t="s">
        <v>57</v>
      </c>
      <c r="E6" s="15">
        <v>10</v>
      </c>
      <c r="F6" s="15">
        <v>20</v>
      </c>
      <c r="H6" s="15" t="s">
        <v>71</v>
      </c>
      <c r="I6" s="15">
        <f t="shared" si="0"/>
        <v>48</v>
      </c>
      <c r="J6" s="15">
        <f t="shared" si="1"/>
        <v>128</v>
      </c>
    </row>
    <row r="7" spans="1:10" ht="15" customHeight="1">
      <c r="A7" s="14" t="s">
        <v>72</v>
      </c>
      <c r="B7" s="14" t="s">
        <v>73</v>
      </c>
      <c r="C7" s="14" t="s">
        <v>67</v>
      </c>
      <c r="D7" s="17" t="s">
        <v>57</v>
      </c>
      <c r="E7" s="15">
        <v>17</v>
      </c>
      <c r="F7" s="15">
        <v>30.8</v>
      </c>
      <c r="H7" s="15" t="s">
        <v>74</v>
      </c>
      <c r="I7" s="15">
        <f t="shared" si="0"/>
        <v>27.187000000000001</v>
      </c>
      <c r="J7" s="15">
        <f t="shared" si="1"/>
        <v>51.87</v>
      </c>
    </row>
    <row r="8" spans="1:10" ht="15" customHeight="1">
      <c r="A8" s="14" t="s">
        <v>75</v>
      </c>
      <c r="B8" s="14" t="s">
        <v>63</v>
      </c>
      <c r="C8" s="18" t="s">
        <v>76</v>
      </c>
      <c r="D8" s="17" t="s">
        <v>57</v>
      </c>
      <c r="E8" s="15">
        <v>16</v>
      </c>
      <c r="F8" s="15">
        <v>32</v>
      </c>
      <c r="H8" s="15" t="s">
        <v>77</v>
      </c>
      <c r="I8" s="15">
        <f t="shared" si="0"/>
        <v>22.5</v>
      </c>
      <c r="J8" s="15">
        <f t="shared" si="1"/>
        <v>45.694220000000008</v>
      </c>
    </row>
    <row r="9" spans="1:10" ht="15" customHeight="1">
      <c r="A9" s="14" t="s">
        <v>78</v>
      </c>
      <c r="B9" s="14" t="s">
        <v>70</v>
      </c>
      <c r="C9" s="18" t="s">
        <v>76</v>
      </c>
      <c r="D9" s="17" t="s">
        <v>57</v>
      </c>
      <c r="E9" s="15">
        <v>10</v>
      </c>
      <c r="F9" s="15">
        <v>20</v>
      </c>
      <c r="H9" s="15" t="s">
        <v>79</v>
      </c>
      <c r="I9" s="15">
        <f t="shared" si="0"/>
        <v>19</v>
      </c>
      <c r="J9" s="15">
        <f t="shared" si="1"/>
        <v>24</v>
      </c>
    </row>
    <row r="10" spans="1:10" ht="15" customHeight="1">
      <c r="A10" s="14" t="s">
        <v>80</v>
      </c>
      <c r="B10" s="14" t="s">
        <v>81</v>
      </c>
      <c r="C10" s="18" t="s">
        <v>76</v>
      </c>
      <c r="D10" s="17" t="s">
        <v>57</v>
      </c>
      <c r="E10" s="15">
        <v>8</v>
      </c>
      <c r="F10" s="15">
        <v>16</v>
      </c>
      <c r="H10" s="15" t="s">
        <v>82</v>
      </c>
      <c r="I10" s="15">
        <f t="shared" si="0"/>
        <v>10</v>
      </c>
      <c r="J10" s="15">
        <f t="shared" si="1"/>
        <v>10</v>
      </c>
    </row>
    <row r="11" spans="1:10" ht="15" customHeight="1">
      <c r="A11" s="14" t="s">
        <v>83</v>
      </c>
      <c r="B11" s="14" t="s">
        <v>84</v>
      </c>
      <c r="C11" s="18" t="s">
        <v>76</v>
      </c>
      <c r="D11" s="17" t="s">
        <v>57</v>
      </c>
      <c r="E11" s="15">
        <v>20.16</v>
      </c>
      <c r="F11" s="15">
        <v>35</v>
      </c>
      <c r="H11" s="15" t="s">
        <v>85</v>
      </c>
      <c r="I11" s="15">
        <f t="shared" si="0"/>
        <v>2</v>
      </c>
      <c r="J11" s="15">
        <f t="shared" si="1"/>
        <v>4</v>
      </c>
    </row>
    <row r="12" spans="1:10" ht="15" customHeight="1">
      <c r="A12" s="14" t="s">
        <v>86</v>
      </c>
      <c r="B12" s="14" t="s">
        <v>87</v>
      </c>
      <c r="C12" s="18" t="s">
        <v>76</v>
      </c>
      <c r="D12" s="17" t="s">
        <v>57</v>
      </c>
      <c r="E12" s="15">
        <v>7.56</v>
      </c>
      <c r="F12" s="15">
        <v>13.2</v>
      </c>
    </row>
    <row r="13" spans="1:10" ht="15" customHeight="1">
      <c r="A13" s="14" t="s">
        <v>88</v>
      </c>
      <c r="B13" s="14" t="s">
        <v>89</v>
      </c>
      <c r="C13" s="14" t="s">
        <v>90</v>
      </c>
      <c r="D13" s="17" t="s">
        <v>57</v>
      </c>
      <c r="E13" s="15">
        <v>35.28</v>
      </c>
      <c r="F13" s="15">
        <v>61.6</v>
      </c>
    </row>
    <row r="14" spans="1:10" ht="15" customHeight="1">
      <c r="A14" s="19" t="s">
        <v>91</v>
      </c>
      <c r="B14" s="23" t="s">
        <v>92</v>
      </c>
      <c r="C14" s="14" t="s">
        <v>90</v>
      </c>
      <c r="D14" s="17" t="s">
        <v>57</v>
      </c>
      <c r="E14" s="15">
        <v>20</v>
      </c>
      <c r="F14" s="15">
        <v>75</v>
      </c>
    </row>
    <row r="15" spans="1:10" ht="15" customHeight="1">
      <c r="A15" s="14" t="s">
        <v>93</v>
      </c>
      <c r="B15" s="23"/>
      <c r="C15" s="14" t="s">
        <v>90</v>
      </c>
      <c r="D15" s="17" t="s">
        <v>57</v>
      </c>
      <c r="E15" s="15">
        <v>20</v>
      </c>
      <c r="F15" s="15">
        <v>75</v>
      </c>
    </row>
    <row r="16" spans="1:10" ht="15" customHeight="1">
      <c r="A16" s="14" t="s">
        <v>94</v>
      </c>
      <c r="B16" s="14" t="s">
        <v>95</v>
      </c>
      <c r="C16" s="14" t="s">
        <v>90</v>
      </c>
      <c r="D16" s="17" t="s">
        <v>57</v>
      </c>
      <c r="E16" s="15">
        <v>110.88</v>
      </c>
      <c r="F16" s="15">
        <v>193.6</v>
      </c>
    </row>
    <row r="17" spans="1:6" ht="15" customHeight="1">
      <c r="A17" s="14" t="s">
        <v>96</v>
      </c>
      <c r="B17" s="14" t="s">
        <v>97</v>
      </c>
      <c r="C17" s="14" t="s">
        <v>90</v>
      </c>
      <c r="D17" s="17" t="s">
        <v>57</v>
      </c>
      <c r="E17" s="15">
        <v>27.72</v>
      </c>
      <c r="F17" s="15">
        <v>48.4</v>
      </c>
    </row>
    <row r="18" spans="1:6" ht="15" customHeight="1">
      <c r="A18" s="14" t="s">
        <v>98</v>
      </c>
      <c r="B18" s="14" t="s">
        <v>99</v>
      </c>
      <c r="C18" s="14" t="s">
        <v>90</v>
      </c>
      <c r="D18" s="17" t="s">
        <v>57</v>
      </c>
      <c r="E18" s="15">
        <v>22.68</v>
      </c>
      <c r="F18" s="15">
        <v>39.6</v>
      </c>
    </row>
    <row r="19" spans="1:6" ht="15" customHeight="1">
      <c r="A19" s="14" t="s">
        <v>100</v>
      </c>
      <c r="B19" s="14" t="s">
        <v>101</v>
      </c>
      <c r="C19" s="14" t="s">
        <v>102</v>
      </c>
      <c r="D19" s="17" t="s">
        <v>57</v>
      </c>
      <c r="E19" s="15">
        <v>15.12</v>
      </c>
      <c r="F19" s="15">
        <v>26.4</v>
      </c>
    </row>
    <row r="20" spans="1:6" ht="15" customHeight="1">
      <c r="A20" s="14" t="s">
        <v>103</v>
      </c>
      <c r="B20" s="14" t="s">
        <v>104</v>
      </c>
      <c r="C20" s="14" t="s">
        <v>102</v>
      </c>
      <c r="D20" s="17" t="s">
        <v>57</v>
      </c>
      <c r="E20" s="15">
        <v>40.32</v>
      </c>
      <c r="F20" s="15">
        <v>70.400000000000006</v>
      </c>
    </row>
    <row r="21" spans="1:6" ht="15" customHeight="1">
      <c r="A21" s="14" t="s">
        <v>105</v>
      </c>
      <c r="B21" s="24" t="s">
        <v>106</v>
      </c>
      <c r="C21" s="14" t="s">
        <v>90</v>
      </c>
      <c r="D21" s="17" t="s">
        <v>107</v>
      </c>
      <c r="E21" s="15">
        <v>100.8</v>
      </c>
      <c r="F21" s="15">
        <v>100.8</v>
      </c>
    </row>
    <row r="22" spans="1:6" ht="15" customHeight="1">
      <c r="A22" s="14" t="s">
        <v>108</v>
      </c>
      <c r="B22" s="24"/>
      <c r="C22" s="14" t="s">
        <v>90</v>
      </c>
      <c r="D22" s="17" t="s">
        <v>107</v>
      </c>
    </row>
    <row r="23" spans="1:6" ht="15" customHeight="1">
      <c r="A23" s="14" t="s">
        <v>109</v>
      </c>
      <c r="B23" s="24"/>
      <c r="C23" s="14" t="s">
        <v>90</v>
      </c>
      <c r="D23" s="17" t="s">
        <v>107</v>
      </c>
    </row>
    <row r="24" spans="1:6" ht="15" customHeight="1">
      <c r="A24" s="14" t="s">
        <v>110</v>
      </c>
      <c r="B24" s="24"/>
      <c r="C24" s="14" t="s">
        <v>90</v>
      </c>
      <c r="D24" s="17" t="s">
        <v>107</v>
      </c>
    </row>
    <row r="25" spans="1:6" ht="15" customHeight="1">
      <c r="A25" s="16" t="s">
        <v>111</v>
      </c>
      <c r="B25" s="24"/>
      <c r="C25" s="14" t="s">
        <v>90</v>
      </c>
      <c r="D25" s="17" t="s">
        <v>107</v>
      </c>
    </row>
    <row r="26" spans="1:6" ht="15" customHeight="1">
      <c r="A26" s="16" t="s">
        <v>112</v>
      </c>
      <c r="B26" s="24"/>
      <c r="C26" s="14" t="s">
        <v>90</v>
      </c>
      <c r="D26" s="17" t="s">
        <v>107</v>
      </c>
    </row>
    <row r="27" spans="1:6" ht="15" customHeight="1">
      <c r="A27" s="14" t="s">
        <v>113</v>
      </c>
      <c r="B27" s="24"/>
      <c r="C27" s="14" t="s">
        <v>90</v>
      </c>
      <c r="D27" s="17" t="s">
        <v>107</v>
      </c>
    </row>
    <row r="28" spans="1:6" ht="15" customHeight="1">
      <c r="A28" s="14" t="s">
        <v>114</v>
      </c>
      <c r="B28" s="24"/>
      <c r="C28" s="14" t="s">
        <v>90</v>
      </c>
      <c r="D28" s="17" t="s">
        <v>107</v>
      </c>
    </row>
    <row r="29" spans="1:6" ht="15" customHeight="1">
      <c r="A29" s="14" t="s">
        <v>115</v>
      </c>
      <c r="B29" s="24"/>
      <c r="C29" s="14" t="s">
        <v>90</v>
      </c>
      <c r="D29" s="17" t="s">
        <v>107</v>
      </c>
    </row>
    <row r="30" spans="1:6" ht="15" customHeight="1">
      <c r="A30" s="16" t="s">
        <v>116</v>
      </c>
      <c r="B30" s="24"/>
      <c r="C30" s="14" t="s">
        <v>90</v>
      </c>
      <c r="D30" s="17" t="s">
        <v>107</v>
      </c>
    </row>
    <row r="31" spans="1:6" ht="15" customHeight="1">
      <c r="A31" s="16" t="s">
        <v>117</v>
      </c>
      <c r="B31" s="24"/>
      <c r="C31" s="14" t="s">
        <v>90</v>
      </c>
      <c r="D31" s="17" t="s">
        <v>107</v>
      </c>
    </row>
    <row r="32" spans="1:6" ht="15" customHeight="1">
      <c r="A32" s="14" t="s">
        <v>118</v>
      </c>
      <c r="B32" s="24"/>
      <c r="C32" s="14" t="s">
        <v>90</v>
      </c>
      <c r="D32" s="17" t="s">
        <v>107</v>
      </c>
    </row>
    <row r="33" spans="1:6" ht="15" customHeight="1">
      <c r="A33" s="14" t="s">
        <v>119</v>
      </c>
      <c r="B33" s="24"/>
      <c r="C33" s="14" t="s">
        <v>90</v>
      </c>
      <c r="D33" s="17" t="s">
        <v>107</v>
      </c>
    </row>
    <row r="34" spans="1:6" ht="15" customHeight="1">
      <c r="A34" s="14" t="s">
        <v>120</v>
      </c>
      <c r="B34" s="24"/>
      <c r="C34" s="14" t="s">
        <v>90</v>
      </c>
      <c r="D34" s="17" t="s">
        <v>107</v>
      </c>
    </row>
    <row r="35" spans="1:6" ht="15" customHeight="1">
      <c r="A35" s="14" t="s">
        <v>121</v>
      </c>
      <c r="B35" s="24"/>
      <c r="C35" s="14" t="s">
        <v>90</v>
      </c>
      <c r="D35" s="17" t="s">
        <v>107</v>
      </c>
    </row>
    <row r="36" spans="1:6" ht="15" customHeight="1">
      <c r="A36" s="14" t="s">
        <v>122</v>
      </c>
      <c r="B36" s="24"/>
      <c r="C36" s="14" t="s">
        <v>90</v>
      </c>
      <c r="D36" s="17" t="s">
        <v>107</v>
      </c>
      <c r="E36" s="15">
        <v>9.6</v>
      </c>
    </row>
    <row r="37" spans="1:6" ht="15" customHeight="1">
      <c r="A37" s="14" t="s">
        <v>123</v>
      </c>
      <c r="B37" s="14" t="s">
        <v>66</v>
      </c>
      <c r="C37" s="16" t="s">
        <v>124</v>
      </c>
      <c r="D37" s="17" t="s">
        <v>125</v>
      </c>
      <c r="E37" s="15">
        <v>24</v>
      </c>
      <c r="F37" s="15">
        <v>48</v>
      </c>
    </row>
    <row r="38" spans="1:6" ht="15" customHeight="1">
      <c r="A38" s="14" t="s">
        <v>126</v>
      </c>
      <c r="B38" s="14" t="s">
        <v>70</v>
      </c>
      <c r="C38" s="16" t="s">
        <v>124</v>
      </c>
      <c r="D38" s="17" t="s">
        <v>125</v>
      </c>
      <c r="E38" s="15">
        <v>10</v>
      </c>
      <c r="F38" s="15">
        <v>20</v>
      </c>
    </row>
    <row r="39" spans="1:6" ht="15" customHeight="1">
      <c r="A39" s="14" t="s">
        <v>127</v>
      </c>
      <c r="B39" s="14" t="s">
        <v>128</v>
      </c>
      <c r="C39" s="16" t="s">
        <v>124</v>
      </c>
      <c r="D39" s="17" t="s">
        <v>125</v>
      </c>
      <c r="E39" s="15">
        <v>26</v>
      </c>
      <c r="F39" s="15">
        <v>52</v>
      </c>
    </row>
    <row r="40" spans="1:6" ht="15" customHeight="1">
      <c r="A40" s="14" t="s">
        <v>129</v>
      </c>
      <c r="B40" s="14" t="s">
        <v>130</v>
      </c>
      <c r="C40" s="14" t="s">
        <v>131</v>
      </c>
      <c r="D40" s="17" t="s">
        <v>132</v>
      </c>
      <c r="E40" s="15">
        <v>16</v>
      </c>
      <c r="F40" s="15">
        <v>64</v>
      </c>
    </row>
    <row r="41" spans="1:6" ht="15" customHeight="1">
      <c r="A41" s="14" t="s">
        <v>133</v>
      </c>
      <c r="B41" s="14" t="s">
        <v>134</v>
      </c>
      <c r="C41" s="14" t="s">
        <v>135</v>
      </c>
      <c r="D41" s="17" t="s">
        <v>136</v>
      </c>
      <c r="E41" s="15">
        <v>30</v>
      </c>
      <c r="F41" s="15">
        <v>100</v>
      </c>
    </row>
    <row r="42" spans="1:6" ht="15" customHeight="1">
      <c r="A42" s="14" t="s">
        <v>137</v>
      </c>
      <c r="B42" s="14" t="s">
        <v>138</v>
      </c>
      <c r="C42" s="23" t="s">
        <v>139</v>
      </c>
      <c r="D42" s="17" t="s">
        <v>136</v>
      </c>
      <c r="E42" s="15">
        <v>150</v>
      </c>
      <c r="F42" s="15">
        <v>300</v>
      </c>
    </row>
    <row r="43" spans="1:6" ht="15" customHeight="1">
      <c r="A43" s="14" t="s">
        <v>140</v>
      </c>
      <c r="B43" s="14" t="s">
        <v>138</v>
      </c>
      <c r="C43" s="23"/>
      <c r="D43" s="17" t="s">
        <v>136</v>
      </c>
      <c r="E43" s="15">
        <v>150</v>
      </c>
      <c r="F43" s="15">
        <v>300</v>
      </c>
    </row>
    <row r="44" spans="1:6" ht="15" customHeight="1">
      <c r="A44" s="14" t="s">
        <v>141</v>
      </c>
      <c r="B44" s="14" t="s">
        <v>142</v>
      </c>
      <c r="C44" s="14" t="s">
        <v>143</v>
      </c>
      <c r="D44" s="17" t="s">
        <v>144</v>
      </c>
      <c r="E44" s="15">
        <v>6</v>
      </c>
      <c r="F44" s="15">
        <v>8.4</v>
      </c>
    </row>
    <row r="45" spans="1:6" ht="15" customHeight="1">
      <c r="A45" s="14" t="s">
        <v>145</v>
      </c>
      <c r="B45" s="14" t="s">
        <v>146</v>
      </c>
      <c r="C45" s="14" t="s">
        <v>143</v>
      </c>
      <c r="D45" s="17" t="s">
        <v>144</v>
      </c>
      <c r="E45" s="15">
        <v>4</v>
      </c>
      <c r="F45" s="15">
        <v>12.8</v>
      </c>
    </row>
    <row r="46" spans="1:6" ht="15" customHeight="1">
      <c r="A46" s="18" t="s">
        <v>147</v>
      </c>
      <c r="B46" s="14" t="s">
        <v>60</v>
      </c>
      <c r="C46" s="14" t="s">
        <v>143</v>
      </c>
      <c r="D46" s="17" t="s">
        <v>144</v>
      </c>
      <c r="E46" s="15">
        <v>12</v>
      </c>
      <c r="F46" s="15">
        <v>24</v>
      </c>
    </row>
    <row r="47" spans="1:6" ht="15" customHeight="1">
      <c r="A47" s="14" t="s">
        <v>148</v>
      </c>
      <c r="B47" s="14" t="s">
        <v>149</v>
      </c>
      <c r="C47" s="16" t="s">
        <v>150</v>
      </c>
      <c r="D47" s="17" t="s">
        <v>144</v>
      </c>
      <c r="E47" s="15">
        <v>0.3</v>
      </c>
      <c r="F47" s="15">
        <v>0.45</v>
      </c>
    </row>
    <row r="48" spans="1:6" ht="15" customHeight="1">
      <c r="A48" s="20" t="s">
        <v>151</v>
      </c>
      <c r="B48" s="14" t="s">
        <v>152</v>
      </c>
      <c r="C48" s="14"/>
      <c r="D48" s="17" t="s">
        <v>144</v>
      </c>
      <c r="E48" s="15">
        <v>0.2</v>
      </c>
      <c r="F48" s="15">
        <v>4.4220000000000002E-2</v>
      </c>
    </row>
    <row r="49" spans="1:6" ht="15" customHeight="1">
      <c r="A49" s="14" t="s">
        <v>153</v>
      </c>
      <c r="B49" s="14" t="s">
        <v>55</v>
      </c>
      <c r="C49" s="16" t="s">
        <v>154</v>
      </c>
      <c r="D49" s="17" t="s">
        <v>155</v>
      </c>
      <c r="E49" s="15">
        <v>5</v>
      </c>
      <c r="F49" s="15">
        <v>10</v>
      </c>
    </row>
    <row r="50" spans="1:6" ht="15" customHeight="1">
      <c r="A50" s="14" t="s">
        <v>156</v>
      </c>
      <c r="B50" s="14" t="s">
        <v>157</v>
      </c>
      <c r="C50" s="16" t="s">
        <v>154</v>
      </c>
      <c r="D50" s="17" t="s">
        <v>155</v>
      </c>
      <c r="E50" s="15">
        <v>14</v>
      </c>
      <c r="F50" s="15">
        <v>14</v>
      </c>
    </row>
    <row r="51" spans="1:6" ht="15" customHeight="1">
      <c r="A51" s="14" t="s">
        <v>158</v>
      </c>
      <c r="B51" s="14" t="s">
        <v>159</v>
      </c>
      <c r="C51" s="14" t="s">
        <v>160</v>
      </c>
      <c r="D51" s="17" t="s">
        <v>132</v>
      </c>
      <c r="E51" s="15">
        <v>32</v>
      </c>
      <c r="F51" s="15">
        <v>64</v>
      </c>
    </row>
    <row r="52" spans="1:6" ht="15" customHeight="1">
      <c r="A52" s="20" t="s">
        <v>161</v>
      </c>
      <c r="B52" s="14" t="s">
        <v>162</v>
      </c>
      <c r="C52" s="14" t="s">
        <v>90</v>
      </c>
      <c r="D52" s="17" t="s">
        <v>163</v>
      </c>
      <c r="E52" s="15">
        <v>10</v>
      </c>
      <c r="F52" s="15">
        <v>10</v>
      </c>
    </row>
    <row r="53" spans="1:6" ht="15" customHeight="1">
      <c r="A53" s="16" t="s">
        <v>164</v>
      </c>
      <c r="B53" s="14" t="s">
        <v>165</v>
      </c>
      <c r="C53" s="16" t="s">
        <v>166</v>
      </c>
      <c r="D53" s="17" t="s">
        <v>167</v>
      </c>
      <c r="E53" s="15">
        <v>2</v>
      </c>
      <c r="F53" s="15">
        <v>4</v>
      </c>
    </row>
    <row r="54" spans="1:6" ht="15" customHeight="1">
      <c r="A54" s="16" t="s">
        <v>168</v>
      </c>
      <c r="B54" s="14" t="s">
        <v>70</v>
      </c>
      <c r="C54" s="14"/>
      <c r="D54" s="17" t="s">
        <v>169</v>
      </c>
      <c r="E54" s="15">
        <v>10</v>
      </c>
      <c r="F54" s="15">
        <v>20</v>
      </c>
    </row>
    <row r="55" spans="1:6" ht="15" customHeight="1">
      <c r="A55" s="18" t="s">
        <v>170</v>
      </c>
      <c r="B55" s="14" t="s">
        <v>81</v>
      </c>
      <c r="C55" s="14"/>
      <c r="D55" s="17" t="s">
        <v>169</v>
      </c>
      <c r="E55" s="15">
        <v>8</v>
      </c>
      <c r="F55" s="15">
        <v>16</v>
      </c>
    </row>
    <row r="56" spans="1:6" ht="15" customHeight="1">
      <c r="A56" s="14" t="s">
        <v>171</v>
      </c>
      <c r="B56" s="14" t="s">
        <v>172</v>
      </c>
      <c r="C56" s="14"/>
      <c r="D56" s="17" t="s">
        <v>169</v>
      </c>
      <c r="E56" s="15">
        <v>4</v>
      </c>
      <c r="F56" s="15">
        <v>4</v>
      </c>
    </row>
    <row r="57" spans="1:6" ht="15" customHeight="1">
      <c r="A57" s="20" t="s">
        <v>173</v>
      </c>
      <c r="B57" s="14" t="s">
        <v>55</v>
      </c>
      <c r="C57" s="14" t="s">
        <v>174</v>
      </c>
      <c r="D57" s="17" t="s">
        <v>169</v>
      </c>
      <c r="E57" s="15">
        <v>5</v>
      </c>
      <c r="F57" s="15">
        <v>10</v>
      </c>
    </row>
    <row r="58" spans="1:6" ht="15" customHeight="1">
      <c r="A58" s="16" t="s">
        <v>175</v>
      </c>
      <c r="B58" s="14" t="s">
        <v>176</v>
      </c>
      <c r="C58" s="14" t="s">
        <v>177</v>
      </c>
      <c r="D58" s="17" t="s">
        <v>169</v>
      </c>
      <c r="E58" s="15">
        <v>0.187</v>
      </c>
      <c r="F58" s="15">
        <v>1.87</v>
      </c>
    </row>
  </sheetData>
  <autoFilter ref="H1:J1" xr:uid="{00000000-0001-0000-0000-000000000000}">
    <sortState xmlns:xlrd2="http://schemas.microsoft.com/office/spreadsheetml/2017/richdata2" ref="H2:J11">
      <sortCondition descending="1" ref="I1"/>
    </sortState>
  </autoFilter>
  <mergeCells count="3">
    <mergeCell ref="B14:B15"/>
    <mergeCell ref="B21:B36"/>
    <mergeCell ref="C42:C43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3CCFE-341E-4018-9EAC-5D6AA9DAEAA9}">
  <sheetPr>
    <tabColor theme="3"/>
  </sheetPr>
  <dimension ref="A1:AT2"/>
  <sheetViews>
    <sheetView tabSelected="1" workbookViewId="0">
      <selection activeCell="AT2" sqref="M2:AT2"/>
    </sheetView>
  </sheetViews>
  <sheetFormatPr defaultColWidth="9" defaultRowHeight="14.4"/>
  <cols>
    <col min="1" max="1" width="29.33203125" style="6" bestFit="1" customWidth="1"/>
    <col min="2" max="4" width="8.6640625" style="6" customWidth="1"/>
    <col min="5" max="46" width="10.21875" style="6" customWidth="1"/>
    <col min="47" max="16384" width="9" style="6"/>
  </cols>
  <sheetData>
    <row r="1" spans="1:46">
      <c r="A1" s="8" t="s">
        <v>29</v>
      </c>
      <c r="B1" s="6">
        <v>2016</v>
      </c>
      <c r="C1" s="6">
        <v>2017</v>
      </c>
      <c r="D1" s="6">
        <v>2018</v>
      </c>
      <c r="E1" s="6">
        <v>2019</v>
      </c>
      <c r="F1" s="6">
        <v>2020</v>
      </c>
      <c r="G1" s="6">
        <v>2021</v>
      </c>
      <c r="H1" s="6">
        <v>2022</v>
      </c>
      <c r="I1" s="6">
        <v>2023</v>
      </c>
      <c r="J1" s="6">
        <v>2024</v>
      </c>
      <c r="K1" s="6">
        <v>2025</v>
      </c>
      <c r="L1" s="6">
        <v>2026</v>
      </c>
      <c r="M1" s="6">
        <v>2027</v>
      </c>
      <c r="N1" s="6">
        <v>2028</v>
      </c>
      <c r="O1" s="6">
        <v>2029</v>
      </c>
      <c r="P1" s="6">
        <v>2030</v>
      </c>
      <c r="Q1" s="6">
        <v>2031</v>
      </c>
      <c r="R1" s="6">
        <v>2032</v>
      </c>
      <c r="S1" s="6">
        <v>2033</v>
      </c>
      <c r="T1" s="6">
        <v>2034</v>
      </c>
      <c r="U1" s="6">
        <v>2035</v>
      </c>
      <c r="V1" s="6">
        <v>2036</v>
      </c>
      <c r="W1" s="6">
        <v>2037</v>
      </c>
      <c r="X1" s="6">
        <v>2038</v>
      </c>
      <c r="Y1" s="6">
        <v>2039</v>
      </c>
      <c r="Z1" s="6">
        <v>2040</v>
      </c>
      <c r="AA1" s="6">
        <v>2041</v>
      </c>
      <c r="AB1" s="6">
        <v>2042</v>
      </c>
      <c r="AC1" s="6">
        <v>2043</v>
      </c>
      <c r="AD1" s="6">
        <v>2044</v>
      </c>
      <c r="AE1" s="6">
        <v>2045</v>
      </c>
      <c r="AF1" s="6">
        <v>2046</v>
      </c>
      <c r="AG1" s="6">
        <v>2047</v>
      </c>
      <c r="AH1" s="6">
        <v>2048</v>
      </c>
      <c r="AI1" s="6">
        <v>2049</v>
      </c>
      <c r="AJ1" s="6">
        <v>2050</v>
      </c>
      <c r="AK1" s="6">
        <v>2051</v>
      </c>
      <c r="AL1" s="6">
        <v>2052</v>
      </c>
      <c r="AM1" s="6">
        <v>2053</v>
      </c>
      <c r="AN1" s="6">
        <v>2054</v>
      </c>
      <c r="AO1" s="6">
        <v>2055</v>
      </c>
      <c r="AP1" s="6">
        <v>2056</v>
      </c>
      <c r="AQ1" s="6">
        <v>2057</v>
      </c>
      <c r="AR1" s="6">
        <v>2058</v>
      </c>
      <c r="AS1" s="6">
        <v>2059</v>
      </c>
      <c r="AT1" s="6">
        <v>2060</v>
      </c>
    </row>
    <row r="2" spans="1:46">
      <c r="A2" s="6" t="s">
        <v>28</v>
      </c>
      <c r="B2" s="9">
        <f>Summary!F47</f>
        <v>0</v>
      </c>
      <c r="C2" s="9">
        <f>Summary!G47</f>
        <v>100</v>
      </c>
      <c r="D2" s="9">
        <f>Summary!H47</f>
        <v>308</v>
      </c>
      <c r="E2" s="9">
        <f>Summary!I47</f>
        <v>411</v>
      </c>
      <c r="F2" s="9">
        <f>Summary!J47</f>
        <v>673</v>
      </c>
      <c r="G2" s="9">
        <f>Summary!K47</f>
        <v>2181.1999999999998</v>
      </c>
      <c r="H2" s="9">
        <f>Summary!L47</f>
        <v>6666.2</v>
      </c>
      <c r="I2" s="9">
        <f>Summary!M47</f>
        <v>10056.200000000001</v>
      </c>
      <c r="J2" s="9">
        <f>Summary!N47</f>
        <v>16346.2</v>
      </c>
      <c r="K2" s="9">
        <f>Summary!O47</f>
        <v>26135.844457189531</v>
      </c>
      <c r="L2" s="9">
        <f>Summary!P47</f>
        <v>37081.403905333616</v>
      </c>
      <c r="M2" s="7">
        <f>($AJ2-$L2)/24+L2</f>
        <v>44286.345409278052</v>
      </c>
      <c r="N2" s="7">
        <f t="shared" ref="N2:AT2" si="0">($AJ2-$L2)/24+M2</f>
        <v>51491.286913222488</v>
      </c>
      <c r="O2" s="7">
        <f t="shared" si="0"/>
        <v>58696.228417166923</v>
      </c>
      <c r="P2" s="7">
        <f t="shared" si="0"/>
        <v>65901.169921111359</v>
      </c>
      <c r="Q2" s="7">
        <f t="shared" si="0"/>
        <v>73106.111425055788</v>
      </c>
      <c r="R2" s="7">
        <f t="shared" si="0"/>
        <v>80311.052929000216</v>
      </c>
      <c r="S2" s="7">
        <f t="shared" si="0"/>
        <v>87515.994432944644</v>
      </c>
      <c r="T2" s="7">
        <f t="shared" si="0"/>
        <v>94720.935936889073</v>
      </c>
      <c r="U2" s="7">
        <f t="shared" si="0"/>
        <v>101925.8774408335</v>
      </c>
      <c r="V2" s="7">
        <f t="shared" si="0"/>
        <v>109130.81894477793</v>
      </c>
      <c r="W2" s="7">
        <f t="shared" si="0"/>
        <v>116335.76044872236</v>
      </c>
      <c r="X2" s="7">
        <f t="shared" si="0"/>
        <v>123540.70195266679</v>
      </c>
      <c r="Y2" s="7">
        <f t="shared" si="0"/>
        <v>130745.64345661121</v>
      </c>
      <c r="Z2" s="7">
        <f t="shared" si="0"/>
        <v>137950.58496055566</v>
      </c>
      <c r="AA2" s="7">
        <f t="shared" si="0"/>
        <v>145155.52646450009</v>
      </c>
      <c r="AB2" s="7">
        <f t="shared" si="0"/>
        <v>152360.46796844451</v>
      </c>
      <c r="AC2" s="7">
        <f t="shared" si="0"/>
        <v>159565.40947238894</v>
      </c>
      <c r="AD2" s="7">
        <f t="shared" si="0"/>
        <v>166770.35097633337</v>
      </c>
      <c r="AE2" s="7">
        <f t="shared" si="0"/>
        <v>173975.2924802778</v>
      </c>
      <c r="AF2" s="7">
        <f t="shared" si="0"/>
        <v>181180.23398422223</v>
      </c>
      <c r="AG2" s="7">
        <f t="shared" si="0"/>
        <v>188385.17548816666</v>
      </c>
      <c r="AH2" s="7">
        <f t="shared" si="0"/>
        <v>195590.11699211108</v>
      </c>
      <c r="AI2" s="7">
        <f t="shared" si="0"/>
        <v>202795.05849605551</v>
      </c>
      <c r="AJ2" s="7">
        <v>210000</v>
      </c>
      <c r="AK2" s="7">
        <f t="shared" si="0"/>
        <v>217204.94150394443</v>
      </c>
      <c r="AL2" s="7">
        <f t="shared" si="0"/>
        <v>224409.88300788886</v>
      </c>
      <c r="AM2" s="7">
        <f t="shared" si="0"/>
        <v>231614.82451183329</v>
      </c>
      <c r="AN2" s="7">
        <f t="shared" si="0"/>
        <v>238819.76601577771</v>
      </c>
      <c r="AO2" s="7">
        <f t="shared" si="0"/>
        <v>246024.70751972214</v>
      </c>
      <c r="AP2" s="7">
        <f t="shared" si="0"/>
        <v>253229.64902366657</v>
      </c>
      <c r="AQ2" s="7">
        <f t="shared" si="0"/>
        <v>260434.590527611</v>
      </c>
      <c r="AR2" s="7">
        <f t="shared" si="0"/>
        <v>267639.53203155543</v>
      </c>
      <c r="AS2" s="7">
        <f t="shared" si="0"/>
        <v>274844.47353549988</v>
      </c>
      <c r="AT2" s="7">
        <f t="shared" si="0"/>
        <v>282049.41503944434</v>
      </c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75805-4165-475A-B5EA-FEC08E8B8666}">
  <dimension ref="A1:AT2"/>
  <sheetViews>
    <sheetView topLeftCell="B1" workbookViewId="0">
      <selection activeCell="K26" sqref="K26"/>
    </sheetView>
  </sheetViews>
  <sheetFormatPr defaultRowHeight="14.4"/>
  <sheetData>
    <row r="1" spans="1:46" s="29" customFormat="1">
      <c r="A1" s="28" t="s">
        <v>29</v>
      </c>
      <c r="B1" s="29">
        <v>2016</v>
      </c>
      <c r="C1" s="29">
        <v>2017</v>
      </c>
      <c r="D1" s="29">
        <v>2018</v>
      </c>
      <c r="E1" s="29">
        <v>2019</v>
      </c>
      <c r="F1" s="29">
        <v>2020</v>
      </c>
      <c r="G1" s="29">
        <v>2021</v>
      </c>
      <c r="H1" s="29">
        <v>2022</v>
      </c>
      <c r="I1" s="29">
        <v>2023</v>
      </c>
      <c r="J1" s="29">
        <v>2024</v>
      </c>
      <c r="K1" s="29">
        <v>2025</v>
      </c>
      <c r="L1" s="29">
        <v>2026</v>
      </c>
      <c r="M1" s="29">
        <v>2027</v>
      </c>
      <c r="N1" s="29">
        <v>2028</v>
      </c>
      <c r="O1" s="29">
        <v>2029</v>
      </c>
      <c r="P1" s="29">
        <v>2030</v>
      </c>
      <c r="Q1" s="29">
        <v>2031</v>
      </c>
      <c r="R1" s="29">
        <v>2032</v>
      </c>
      <c r="S1" s="29">
        <v>2033</v>
      </c>
      <c r="T1" s="29">
        <v>2034</v>
      </c>
      <c r="U1" s="29">
        <v>2035</v>
      </c>
      <c r="V1" s="29">
        <v>2036</v>
      </c>
      <c r="W1" s="29">
        <v>2037</v>
      </c>
      <c r="X1" s="29">
        <v>2038</v>
      </c>
      <c r="Y1" s="29">
        <v>2039</v>
      </c>
      <c r="Z1" s="29">
        <v>2040</v>
      </c>
      <c r="AA1" s="29">
        <v>2041</v>
      </c>
      <c r="AB1" s="29">
        <v>2042</v>
      </c>
      <c r="AC1" s="29">
        <v>2043</v>
      </c>
      <c r="AD1" s="29">
        <v>2044</v>
      </c>
      <c r="AE1" s="29">
        <v>2045</v>
      </c>
      <c r="AF1" s="29">
        <v>2046</v>
      </c>
      <c r="AG1" s="29">
        <v>2047</v>
      </c>
      <c r="AH1" s="29">
        <v>2048</v>
      </c>
      <c r="AI1" s="29">
        <v>2049</v>
      </c>
      <c r="AJ1" s="29">
        <v>2050</v>
      </c>
      <c r="AK1" s="29">
        <v>2051</v>
      </c>
      <c r="AL1" s="29">
        <v>2052</v>
      </c>
      <c r="AM1" s="29">
        <v>2053</v>
      </c>
      <c r="AN1" s="29">
        <v>2054</v>
      </c>
      <c r="AO1" s="29">
        <v>2055</v>
      </c>
      <c r="AP1" s="29">
        <v>2056</v>
      </c>
      <c r="AQ1" s="29">
        <v>2057</v>
      </c>
      <c r="AR1" s="29">
        <v>2058</v>
      </c>
      <c r="AS1" s="29">
        <v>2059</v>
      </c>
      <c r="AT1" s="29">
        <v>2060</v>
      </c>
    </row>
    <row r="2" spans="1:46" s="30" customFormat="1">
      <c r="A2" s="30" t="s">
        <v>198</v>
      </c>
      <c r="B2" s="30">
        <f>Summary!F55</f>
        <v>0</v>
      </c>
      <c r="C2" s="30">
        <f>Summary!G55</f>
        <v>0</v>
      </c>
      <c r="D2" s="30">
        <f>Summary!H55</f>
        <v>0</v>
      </c>
      <c r="E2" s="30">
        <f>Summary!I55</f>
        <v>0</v>
      </c>
      <c r="F2" s="30">
        <f>Summary!J55</f>
        <v>0</v>
      </c>
      <c r="G2" s="30">
        <f>Summary!K55</f>
        <v>0</v>
      </c>
      <c r="H2" s="30">
        <f>Summary!L55</f>
        <v>0</v>
      </c>
      <c r="I2" s="30">
        <f>Summary!M55</f>
        <v>780.81909117888426</v>
      </c>
      <c r="J2" s="30">
        <f>Summary!N55</f>
        <v>5077.8744504250535</v>
      </c>
      <c r="K2" s="30">
        <f>Summary!O55</f>
        <v>15026.632033950424</v>
      </c>
      <c r="L2" s="30">
        <f>Summary!P55</f>
        <v>23706.755538074896</v>
      </c>
      <c r="M2" s="31">
        <f>($AJ2-$L2)/24+L2</f>
        <v>31468.974057321775</v>
      </c>
      <c r="N2" s="31">
        <f t="shared" ref="N2:AT2" si="0">($AJ2-$L2)/24+M2</f>
        <v>39231.192576568654</v>
      </c>
      <c r="O2" s="31">
        <f t="shared" si="0"/>
        <v>46993.411095815536</v>
      </c>
      <c r="P2" s="31">
        <f t="shared" si="0"/>
        <v>54755.629615062418</v>
      </c>
      <c r="Q2" s="31">
        <f t="shared" si="0"/>
        <v>62517.848134309301</v>
      </c>
      <c r="R2" s="31">
        <f t="shared" si="0"/>
        <v>70280.066653556176</v>
      </c>
      <c r="S2" s="31">
        <f t="shared" si="0"/>
        <v>78042.285172803051</v>
      </c>
      <c r="T2" s="31">
        <f t="shared" si="0"/>
        <v>85804.503692049926</v>
      </c>
      <c r="U2" s="31">
        <f t="shared" si="0"/>
        <v>93566.722211296801</v>
      </c>
      <c r="V2" s="31">
        <f t="shared" si="0"/>
        <v>101328.94073054368</v>
      </c>
      <c r="W2" s="31">
        <f t="shared" si="0"/>
        <v>109091.15924979055</v>
      </c>
      <c r="X2" s="31">
        <f t="shared" si="0"/>
        <v>116853.37776903743</v>
      </c>
      <c r="Y2" s="31">
        <f t="shared" si="0"/>
        <v>124615.5962882843</v>
      </c>
      <c r="Z2" s="31">
        <f t="shared" si="0"/>
        <v>132377.81480753119</v>
      </c>
      <c r="AA2" s="31">
        <f t="shared" si="0"/>
        <v>140140.03332677807</v>
      </c>
      <c r="AB2" s="31">
        <f t="shared" si="0"/>
        <v>147902.25184602494</v>
      </c>
      <c r="AC2" s="31">
        <f t="shared" si="0"/>
        <v>155664.47036527182</v>
      </c>
      <c r="AD2" s="31">
        <f t="shared" si="0"/>
        <v>163426.68888451869</v>
      </c>
      <c r="AE2" s="31">
        <f t="shared" si="0"/>
        <v>171188.90740376557</v>
      </c>
      <c r="AF2" s="31">
        <f t="shared" si="0"/>
        <v>178951.12592301244</v>
      </c>
      <c r="AG2" s="31">
        <f t="shared" si="0"/>
        <v>186713.34444225932</v>
      </c>
      <c r="AH2" s="31">
        <f t="shared" si="0"/>
        <v>194475.56296150619</v>
      </c>
      <c r="AI2" s="31">
        <f t="shared" si="0"/>
        <v>202237.78148075307</v>
      </c>
      <c r="AJ2" s="31">
        <v>210000</v>
      </c>
      <c r="AK2" s="31">
        <f t="shared" si="0"/>
        <v>217762.21851924688</v>
      </c>
      <c r="AL2" s="31">
        <f t="shared" si="0"/>
        <v>225524.43703849375</v>
      </c>
      <c r="AM2" s="31">
        <f t="shared" si="0"/>
        <v>233286.65555774063</v>
      </c>
      <c r="AN2" s="31">
        <f t="shared" si="0"/>
        <v>241048.8740769875</v>
      </c>
      <c r="AO2" s="31">
        <f t="shared" si="0"/>
        <v>248811.09259623438</v>
      </c>
      <c r="AP2" s="31">
        <f t="shared" si="0"/>
        <v>256573.31111548125</v>
      </c>
      <c r="AQ2" s="31">
        <f t="shared" si="0"/>
        <v>264335.52963472815</v>
      </c>
      <c r="AR2" s="31">
        <f t="shared" si="0"/>
        <v>272097.74815397506</v>
      </c>
      <c r="AS2" s="31">
        <f t="shared" si="0"/>
        <v>279859.96667322196</v>
      </c>
      <c r="AT2" s="31">
        <f t="shared" si="0"/>
        <v>287622.18519246887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58138-1F67-43FA-BDC3-CD1F506E770F}">
  <dimension ref="A1:B2"/>
  <sheetViews>
    <sheetView workbookViewId="0">
      <selection activeCell="B3" sqref="B3"/>
    </sheetView>
  </sheetViews>
  <sheetFormatPr defaultRowHeight="14.4"/>
  <cols>
    <col min="2" max="2" width="21.44140625" bestFit="1" customWidth="1"/>
  </cols>
  <sheetData>
    <row r="1" spans="1:2">
      <c r="A1" s="29" t="s">
        <v>29</v>
      </c>
      <c r="B1" s="29" t="s">
        <v>199</v>
      </c>
    </row>
    <row r="2" spans="1:2">
      <c r="A2" s="29" t="s">
        <v>200</v>
      </c>
      <c r="B2" s="29">
        <f>Summary!$I$47</f>
        <v>411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 Source</vt:lpstr>
      <vt:lpstr>Summary</vt:lpstr>
      <vt:lpstr>Forecast</vt:lpstr>
      <vt:lpstr>Past</vt:lpstr>
      <vt:lpstr>Projects</vt:lpstr>
      <vt:lpstr>BGBSC</vt:lpstr>
      <vt:lpstr>PAGBSC</vt:lpstr>
      <vt:lpstr>SYGBSC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Wang Rui 2nd</cp:lastModifiedBy>
  <dcterms:created xsi:type="dcterms:W3CDTF">2023-02-17T06:36:25Z</dcterms:created>
  <dcterms:modified xsi:type="dcterms:W3CDTF">2023-02-28T18:31:59Z</dcterms:modified>
</cp:coreProperties>
</file>