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n Meyer" sheetId="1" r:id="rId3"/>
    <sheet state="visible" name="Other People's" sheetId="2" r:id="rId4"/>
  </sheets>
  <definedNames/>
  <calcPr/>
</workbook>
</file>

<file path=xl/sharedStrings.xml><?xml version="1.0" encoding="utf-8"?>
<sst xmlns="http://schemas.openxmlformats.org/spreadsheetml/2006/main" count="485" uniqueCount="107">
  <si>
    <t>Date Added</t>
  </si>
  <si>
    <t>Last Updated</t>
  </si>
  <si>
    <t>Task Title</t>
  </si>
  <si>
    <t>Desmos Activity</t>
  </si>
  <si>
    <t>Lesson Plan</t>
  </si>
  <si>
    <t>Act 1</t>
  </si>
  <si>
    <t>Act 2</t>
  </si>
  <si>
    <t>Act 3</t>
  </si>
  <si>
    <t>Sequel</t>
  </si>
  <si>
    <t>Standard 1</t>
  </si>
  <si>
    <t>Standard 2</t>
  </si>
  <si>
    <t>Standard 3</t>
  </si>
  <si>
    <t>Standard 4</t>
  </si>
  <si>
    <t>Suggested Question</t>
  </si>
  <si>
    <t>License</t>
  </si>
  <si>
    <t>Author</t>
  </si>
  <si>
    <t>John Scammell</t>
  </si>
  <si>
    <t>x</t>
  </si>
  <si>
    <t>How many watermelons are there?</t>
  </si>
  <si>
    <t>Andrew Stadel</t>
  </si>
  <si>
    <t>How many rotations will the tire make before hitting its target?</t>
  </si>
  <si>
    <t>Brian Marks</t>
  </si>
  <si>
    <t>Which jar has the most pennies?</t>
  </si>
  <si>
    <t>How many cans?</t>
  </si>
  <si>
    <t>How many ways can I stack Jack?</t>
  </si>
  <si>
    <t>How long will it take the dog to pop all of the balloons?</t>
  </si>
  <si>
    <t>When should we keep our free coffee card? When should we bet it?</t>
  </si>
  <si>
    <t>How many bottles of Coca Cola did they buy to fill that pool?</t>
  </si>
  <si>
    <t>How long will that fan have to spin until the 5 km egg hatches?</t>
  </si>
  <si>
    <t>Where will each shot hit the cushion - A, B, or C?</t>
  </si>
  <si>
    <t>How many boxes of girl scout cookies will fit into that trunk?</t>
  </si>
  <si>
    <t>Which of these gas pumps are trying to rip you off?</t>
  </si>
  <si>
    <t>Which bridge is best?</t>
  </si>
  <si>
    <t>What should the speedometer read? What will its fastest speed be? Its slowest speed?</t>
  </si>
  <si>
    <t>How long will it take the lava to reach Tarata?</t>
  </si>
  <si>
    <t>How should I set the timer so I can take the longest possible nap without missing cousin Adarsh's graduation?</t>
  </si>
  <si>
    <t>How much cash is that? How many coins are there?</t>
  </si>
  <si>
    <t>Which is the shorter path?</t>
  </si>
  <si>
    <t>How many lemon wedges do you need for the same lemony taste?</t>
  </si>
  <si>
    <t>What is the cheapest way to package up these candies?</t>
  </si>
  <si>
    <t>What price would you pay for the Money Duck?</t>
  </si>
  <si>
    <t>What's happening here anyway? When do the circle and square have equal area?</t>
  </si>
  <si>
    <t>Is it possible to fix the mixup?</t>
  </si>
  <si>
    <t>How many steps will he run on the super stairs? How long will it take him to run them?</t>
  </si>
  <si>
    <t>Will they ever meet again? How long will that take?</t>
  </si>
  <si>
    <t>How high will the red cart be off the ground at the end of the ride?</t>
  </si>
  <si>
    <t>Will it overflow?</t>
  </si>
  <si>
    <t>Which coupon should I use?</t>
  </si>
  <si>
    <t>Which drink will have the strongest caffeine concentration?</t>
  </si>
  <si>
    <t>Guess how long the other bubble wrap pieces will take to pop.</t>
  </si>
  <si>
    <t>Guess whether or not the two ditch diggers will meet.</t>
  </si>
  <si>
    <t>Make a guess: what will the red scrambler's position be at the end of the ride?</t>
  </si>
  <si>
    <t>How many levels will he be able to make with all those toothpicks?</t>
  </si>
  <si>
    <t>Who do you think did the best job drawing a circle?</t>
  </si>
  <si>
    <t>Who do you think did the best job drawing the midpoint?</t>
  </si>
  <si>
    <t>Who do you think did the best job drawing a square?</t>
  </si>
  <si>
    <t>Who do you think did the best job drawing an equilateral triangle?</t>
  </si>
  <si>
    <t>When will the pixel pattern break through the box? After how many seconds? Where?</t>
  </si>
  <si>
    <t>Where is Earth? How big is it?</t>
  </si>
  <si>
    <t>What should his split time on the indoor track be?</t>
  </si>
  <si>
    <t>Who will reach the taco cart first?</t>
  </si>
  <si>
    <t>How many pennies will the big circle will hold?</t>
  </si>
  <si>
    <t>Who will win?</t>
  </si>
  <si>
    <t>How fast do you think Rich Eisen runs in miles per hour?</t>
  </si>
  <si>
    <t xml:space="preserve">What will be the percent tint with both sunglasses?
</t>
  </si>
  <si>
    <t>Where should we make a horizontal cut so we have equal amounts of cheese?</t>
  </si>
  <si>
    <t>What will the water level look like now?</t>
  </si>
  <si>
    <t>Which container will hold more popcorn?</t>
  </si>
  <si>
    <t>If you were going to carpet the room with a single kind of coin, which would be the cheapest option?</t>
  </si>
  <si>
    <t>If you'd like the most pizza, which coupon should you use?</t>
  </si>
  <si>
    <t>How much money does Fry have in his bank account right now?</t>
  </si>
  <si>
    <t>How long will it take the sink to fill up?</t>
  </si>
  <si>
    <t>How does that work, anyway? How many taps would the letter "z" take?</t>
  </si>
  <si>
    <t>When will the plane be halfway to Hawaii?</t>
  </si>
  <si>
    <t>How much cash is on the walls?</t>
  </si>
  <si>
    <t>When should you start bombarding the App Store with purchases if you want to win?</t>
  </si>
  <si>
    <t>Which pain reliever is the best deal?</t>
  </si>
  <si>
    <t>How fast is Usain Bolt running?</t>
  </si>
  <si>
    <t>How far away is the camera from the explosion</t>
  </si>
  <si>
    <t>How do we fix Nana's chocolate milk?</t>
  </si>
  <si>
    <t>How many Starburst packs have exactly one yellow Starburst? Two yellow Starbursts?</t>
  </si>
  <si>
    <t>Which glass now contains more of its original soda?</t>
  </si>
  <si>
    <t>Do you think Joulies will work as advertised?</t>
  </si>
  <si>
    <t>Which glass contains more soda?</t>
  </si>
  <si>
    <t>How many toy cars are in the circle?</t>
  </si>
  <si>
    <t>How many dominoes would it take to knock over a skyscraper-sized domino?</t>
  </si>
  <si>
    <t>How many gallons fit into that coffee cup?</t>
  </si>
  <si>
    <t>What will the dollar bill look like after getting reduced that many times?</t>
  </si>
  <si>
    <t>How many regular bears equals the super bear?</t>
  </si>
  <si>
    <t>Which is cheaper: a shower or a bath?</t>
  </si>
  <si>
    <t>What's the total grocery bill?</t>
  </si>
  <si>
    <t>Will the ball go in the hoop?</t>
  </si>
  <si>
    <t>What fraction is each small piece of the whole?</t>
  </si>
  <si>
    <t>What does the speed of light look like?</t>
  </si>
  <si>
    <t>How many pennies is that?</t>
  </si>
  <si>
    <t>How many tickets are on the roll?</t>
  </si>
  <si>
    <t>How long will it take to print all those pages?</t>
  </si>
  <si>
    <t>How fast was he flying when he hit the bag?</t>
  </si>
  <si>
    <t>How much does it cost?</t>
  </si>
  <si>
    <t>How much extra dirt will Stanley have to dig after a year?</t>
  </si>
  <si>
    <t>How many times would all the water bottles used in the US in a year wrap around the world?</t>
  </si>
  <si>
    <t>How many push-ups did Bucky have to do?</t>
  </si>
  <si>
    <t>How many people per square foot is that?</t>
  </si>
  <si>
    <t>How big is the killer's shoe size?</t>
  </si>
  <si>
    <t>How deep is the cave?</t>
  </si>
  <si>
    <t>How many sugar packets are in a bottle of soda?</t>
  </si>
  <si>
    <t>How long will it take to fill up the water tank?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</si>
</sst>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5">
    <font>
      <sz val="10.0"/>
      <color rgb="FF000000"/>
      <name val="Arial"/>
    </font>
    <font/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shrinkToFit="0" wrapText="1"/>
    </xf>
    <xf borderId="0" fillId="0" fontId="1" numFmtId="14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horizontal="center" readingOrder="0" shrinkToFit="0" vertical="bottom" wrapText="1"/>
    </xf>
    <xf borderId="0" fillId="2" fontId="5" numFmtId="0" xfId="0" applyAlignment="1" applyFill="1" applyFont="1">
      <alignment horizontal="center" shrinkToFit="0" wrapText="1"/>
    </xf>
    <xf borderId="0" fillId="0" fontId="6" numFmtId="0" xfId="0" applyAlignment="1" applyFont="1">
      <alignment horizontal="center" shrinkToFit="0" wrapText="1"/>
    </xf>
    <xf borderId="0" fillId="0" fontId="1" numFmtId="0" xfId="0" applyAlignment="1" applyFont="1">
      <alignment readingOrder="0" shrinkToFit="0" wrapText="1"/>
    </xf>
    <xf borderId="0" fillId="0" fontId="7" numFmtId="0" xfId="0" applyAlignment="1" applyFont="1">
      <alignment shrinkToFit="0" wrapText="1"/>
    </xf>
    <xf borderId="0" fillId="3" fontId="8" numFmtId="0" xfId="0" applyAlignment="1" applyFill="1" applyFont="1">
      <alignment horizontal="center" readingOrder="0" shrinkToFit="0" wrapText="1"/>
    </xf>
    <xf borderId="0" fillId="0" fontId="9" numFmtId="0" xfId="0" applyAlignment="1" applyFont="1">
      <alignment readingOrder="0" shrinkToFit="0" wrapText="1"/>
    </xf>
    <xf borderId="0" fillId="3" fontId="10" numFmtId="0" xfId="0" applyAlignment="1" applyFont="1">
      <alignment horizontal="center" shrinkToFit="0" wrapText="1"/>
    </xf>
    <xf borderId="0" fillId="4" fontId="11" numFmtId="0" xfId="0" applyAlignment="1" applyFill="1" applyFont="1">
      <alignment horizontal="center" shrinkToFit="0" wrapText="1"/>
    </xf>
    <xf borderId="0" fillId="5" fontId="12" numFmtId="0" xfId="0" applyAlignment="1" applyFill="1" applyFont="1">
      <alignment horizontal="center" shrinkToFit="0" wrapText="1"/>
    </xf>
    <xf borderId="0" fillId="6" fontId="13" numFmtId="0" xfId="0" applyAlignment="1" applyFill="1" applyFont="1">
      <alignment horizontal="center" shrinkToFit="0" wrapText="1"/>
    </xf>
    <xf borderId="0" fillId="5" fontId="14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7.29"/>
    <col customWidth="1" hidden="1" min="2" max="2" width="17.29"/>
    <col customWidth="1" min="3" max="3" width="34.86"/>
    <col customWidth="1" min="4" max="5" width="9.0"/>
    <col customWidth="1" min="6" max="9" width="6.86"/>
    <col customWidth="1" min="10" max="13" width="9.29"/>
    <col customWidth="1" min="14" max="14" width="97.14"/>
    <col customWidth="1" min="15" max="27" width="17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1" t="s">
        <v>13</v>
      </c>
      <c r="O1" s="1" t="s">
        <v>14</v>
      </c>
    </row>
    <row r="2">
      <c r="D2" s="5"/>
      <c r="E2" s="5"/>
      <c r="F2" s="5"/>
      <c r="G2" s="5"/>
      <c r="H2" s="5"/>
      <c r="I2" s="5"/>
      <c r="J2" s="6"/>
      <c r="K2" s="6"/>
      <c r="L2" s="6"/>
      <c r="M2" s="6"/>
    </row>
    <row r="3">
      <c r="C3" s="8" t="str">
        <f>HYPERLINK("http://blog.mrmeyer.com/?p=10285","Background Information")</f>
        <v>Background Information</v>
      </c>
      <c r="D3" s="5"/>
      <c r="E3" s="5"/>
      <c r="F3" s="5"/>
      <c r="G3" s="5"/>
      <c r="H3" s="5"/>
      <c r="I3" s="5"/>
      <c r="J3" s="6"/>
      <c r="K3" s="6"/>
      <c r="L3" s="6"/>
      <c r="M3" s="6"/>
    </row>
    <row r="4">
      <c r="D4" s="5"/>
      <c r="E4" s="5"/>
      <c r="F4" s="5"/>
      <c r="G4" s="5"/>
      <c r="H4" s="5"/>
      <c r="I4" s="5"/>
      <c r="J4" s="6"/>
      <c r="K4" s="6"/>
      <c r="L4" s="6"/>
      <c r="M4" s="6"/>
    </row>
    <row r="5">
      <c r="A5" s="9">
        <v>42804.0</v>
      </c>
      <c r="B5" s="7"/>
      <c r="C5" s="10" t="str">
        <f>HYPERLINK("http://www.101qs.com/3933","World Record Balloon Dog")</f>
        <v>World Record Balloon Dog</v>
      </c>
      <c r="D5" s="11" t="str">
        <f>HYPERLINK("https://teacher.desmos.com/activitybuilder/custom/58b9f287165d050cb57bc5e3","x")</f>
        <v>x</v>
      </c>
      <c r="E5" s="2" t="s">
        <v>17</v>
      </c>
      <c r="F5" s="2" t="s">
        <v>17</v>
      </c>
      <c r="G5" s="2" t="s">
        <v>17</v>
      </c>
      <c r="H5" s="2" t="s">
        <v>17</v>
      </c>
      <c r="I5" s="2"/>
      <c r="J5" s="12" t="str">
        <f>hyperlink("http://www.corestandards.org/Math/Content/7/RP/A/1","7.RP.1")</f>
        <v>7.RP.1</v>
      </c>
      <c r="K5" s="13" t="str">
        <f t="shared" ref="K5:K15" si="1">hyperlink("http://www.corestandards.org/Math/Practice/MP4", "MP.4")</f>
        <v>MP.4</v>
      </c>
      <c r="L5" s="6"/>
      <c r="M5" s="6"/>
      <c r="N5" s="14" t="s">
        <v>25</v>
      </c>
      <c r="O5" s="8" t="str">
        <f t="shared" ref="O5:O12" si="2">hyperlink("http://creativecommons.org/licenses/by/2.0/","CC-BY")</f>
        <v>CC-BY</v>
      </c>
    </row>
    <row r="6">
      <c r="A6" s="9">
        <v>42735.0</v>
      </c>
      <c r="B6" s="7"/>
      <c r="C6" s="15" t="str">
        <f>HYPERLINK("http://www.101qs.com/3897","Bet Your Coffee")</f>
        <v>Bet Your Coffee</v>
      </c>
      <c r="D6" s="2"/>
      <c r="E6" s="2" t="s">
        <v>17</v>
      </c>
      <c r="F6" s="2" t="s">
        <v>17</v>
      </c>
      <c r="G6" s="2" t="s">
        <v>17</v>
      </c>
      <c r="H6" s="2" t="s">
        <v>17</v>
      </c>
      <c r="I6" s="2"/>
      <c r="J6" s="16" t="str">
        <f>HYPERLINK("http://www.corestandards.org/Math/Content/HSS/MD/#CCSS.Math.Content.HSS.MD.A.3","S-MD.3")</f>
        <v>S-MD.3</v>
      </c>
      <c r="K6" s="13" t="str">
        <f t="shared" si="1"/>
        <v>MP.4</v>
      </c>
      <c r="L6" s="6"/>
      <c r="M6" s="6"/>
      <c r="N6" s="14" t="s">
        <v>26</v>
      </c>
      <c r="O6" s="8" t="str">
        <f t="shared" si="2"/>
        <v>CC-BY</v>
      </c>
    </row>
    <row r="7">
      <c r="A7" s="7">
        <v>42735.0</v>
      </c>
      <c r="B7" s="7"/>
      <c r="C7" s="17" t="str">
        <f>HYPERLINK("http://www.101qs.com/3896","Coca Cola Pool")</f>
        <v>Coca Cola Pool</v>
      </c>
      <c r="D7" s="2"/>
      <c r="E7" s="2" t="s">
        <v>17</v>
      </c>
      <c r="F7" s="2" t="s">
        <v>17</v>
      </c>
      <c r="G7" s="2" t="s">
        <v>17</v>
      </c>
      <c r="H7" s="2" t="s">
        <v>17</v>
      </c>
      <c r="I7" s="2" t="s">
        <v>17</v>
      </c>
      <c r="J7" s="12" t="str">
        <f>HYPERLINK("http://www.corestandards.org/Math/Content/8/G/C/9/","8.G.9")</f>
        <v>8.G.9</v>
      </c>
      <c r="K7" s="13" t="str">
        <f t="shared" si="1"/>
        <v>MP.4</v>
      </c>
      <c r="L7" s="6"/>
      <c r="M7" s="6"/>
      <c r="N7" s="14" t="s">
        <v>27</v>
      </c>
      <c r="O7" s="8" t="str">
        <f t="shared" si="2"/>
        <v>CC-BY</v>
      </c>
    </row>
    <row r="8">
      <c r="A8" s="7">
        <v>42593.0</v>
      </c>
      <c r="B8" s="7"/>
      <c r="C8" s="17" t="str">
        <f>HYPERLINK("http://www.101qs.com/3827","Pokemon Go Cheat")</f>
        <v>Pokemon Go Cheat</v>
      </c>
      <c r="D8" s="2"/>
      <c r="E8" s="2" t="s">
        <v>17</v>
      </c>
      <c r="F8" s="2" t="s">
        <v>17</v>
      </c>
      <c r="G8" s="2" t="s">
        <v>17</v>
      </c>
      <c r="H8" s="2" t="s">
        <v>17</v>
      </c>
      <c r="I8" s="2" t="s">
        <v>17</v>
      </c>
      <c r="J8" s="12" t="str">
        <f>hyperlink("http://www.corestandards.org/Math/Content/7/G/B/4","7.G.4")</f>
        <v>7.G.4</v>
      </c>
      <c r="K8" s="13" t="str">
        <f t="shared" si="1"/>
        <v>MP.4</v>
      </c>
      <c r="L8" s="6"/>
      <c r="M8" s="6"/>
      <c r="N8" s="14" t="s">
        <v>28</v>
      </c>
      <c r="O8" s="8" t="str">
        <f t="shared" si="2"/>
        <v>CC-BY</v>
      </c>
    </row>
    <row r="9">
      <c r="A9" s="7">
        <v>42577.0</v>
      </c>
      <c r="B9" s="7"/>
      <c r="C9" s="17" t="str">
        <f>HYPERLINK("http://www.101qs.com/3807","Pool Bounce")</f>
        <v>Pool Bounce</v>
      </c>
      <c r="D9" s="2"/>
      <c r="E9" s="2" t="s">
        <v>17</v>
      </c>
      <c r="F9" s="2" t="s">
        <v>17</v>
      </c>
      <c r="G9" s="2" t="s">
        <v>17</v>
      </c>
      <c r="H9" s="2" t="s">
        <v>17</v>
      </c>
      <c r="I9" s="2" t="s">
        <v>17</v>
      </c>
      <c r="J9" s="16" t="str">
        <f>HYPERLINK("http://www.corestandards.org/Math/Content/HSG/CO/A/5/","G-CO.5")</f>
        <v>G-CO.5</v>
      </c>
      <c r="K9" s="13" t="str">
        <f t="shared" si="1"/>
        <v>MP.4</v>
      </c>
      <c r="L9" s="6"/>
      <c r="M9" s="6"/>
      <c r="N9" s="14" t="s">
        <v>29</v>
      </c>
      <c r="O9" s="8" t="str">
        <f t="shared" si="2"/>
        <v>CC-BY</v>
      </c>
    </row>
    <row r="10">
      <c r="A10" s="7">
        <v>42430.0</v>
      </c>
      <c r="B10" s="7">
        <v>42430.0</v>
      </c>
      <c r="C10" s="17" t="str">
        <f>HYPERLINK("http://www.101qs.com/3675","Girl Scout Cookies")</f>
        <v>Girl Scout Cookies</v>
      </c>
      <c r="D10" s="2"/>
      <c r="E10" s="2" t="s">
        <v>17</v>
      </c>
      <c r="F10" s="2" t="s">
        <v>17</v>
      </c>
      <c r="G10" s="2" t="s">
        <v>17</v>
      </c>
      <c r="H10" s="2" t="s">
        <v>17</v>
      </c>
      <c r="I10" s="2" t="s">
        <v>17</v>
      </c>
      <c r="J10" s="12" t="str">
        <f>hyperlink("http://www.corestandards.org/Math/Content/6/G/A/2", "6.G.2")</f>
        <v>6.G.2</v>
      </c>
      <c r="K10" s="13" t="str">
        <f t="shared" si="1"/>
        <v>MP.4</v>
      </c>
      <c r="L10" s="6"/>
      <c r="M10" s="6"/>
      <c r="N10" s="14" t="s">
        <v>30</v>
      </c>
      <c r="O10" s="8" t="str">
        <f t="shared" si="2"/>
        <v>CC-BY</v>
      </c>
    </row>
    <row r="11">
      <c r="A11" s="7">
        <v>42417.0</v>
      </c>
      <c r="B11" s="7">
        <v>42417.0</v>
      </c>
      <c r="C11" s="17" t="str">
        <f>HYPERLINK("http://www.101qs.com/3669","Gas Station Ripoff")</f>
        <v>Gas Station Ripoff</v>
      </c>
      <c r="D11" s="2"/>
      <c r="E11" s="2" t="s">
        <v>17</v>
      </c>
      <c r="F11" s="2" t="s">
        <v>17</v>
      </c>
      <c r="G11" s="2" t="s">
        <v>17</v>
      </c>
      <c r="H11" s="2" t="s">
        <v>17</v>
      </c>
      <c r="I11" s="5"/>
      <c r="J11" s="12" t="str">
        <f>hyperlink("http://www.corestandards.org/Math/Content/7/RP/A/1","7.RP.1")</f>
        <v>7.RP.1</v>
      </c>
      <c r="K11" s="13" t="str">
        <f t="shared" si="1"/>
        <v>MP.4</v>
      </c>
      <c r="L11" s="6"/>
      <c r="M11" s="6"/>
      <c r="N11" s="14" t="s">
        <v>31</v>
      </c>
      <c r="O11" s="8" t="str">
        <f t="shared" si="2"/>
        <v>CC-BY</v>
      </c>
    </row>
    <row r="12">
      <c r="A12" s="7">
        <v>42387.0</v>
      </c>
      <c r="B12" s="7">
        <v>42387.0</v>
      </c>
      <c r="C12" s="8" t="str">
        <f>HYPERLINK("http://www.101qs.com/3648","Marine Ramp")</f>
        <v>Marine Ramp</v>
      </c>
      <c r="D12" s="3"/>
      <c r="E12" s="3" t="s">
        <v>17</v>
      </c>
      <c r="F12" s="3" t="s">
        <v>17</v>
      </c>
      <c r="G12" s="3" t="s">
        <v>17</v>
      </c>
      <c r="H12" s="5"/>
      <c r="I12" s="5"/>
      <c r="J12" s="18" t="str">
        <f>HYPERLINK("http://www.corestandards.org/Math/Content/HSG/SRT/C/7/","G-SRT.7")</f>
        <v>G-SRT.7</v>
      </c>
      <c r="K12" s="13" t="str">
        <f t="shared" si="1"/>
        <v>MP.4</v>
      </c>
      <c r="L12" s="6"/>
      <c r="M12" s="6"/>
      <c r="N12" s="1" t="s">
        <v>32</v>
      </c>
      <c r="O12" s="8" t="str">
        <f t="shared" si="2"/>
        <v>CC-BY</v>
      </c>
    </row>
    <row r="13">
      <c r="A13" s="7">
        <v>42294.0</v>
      </c>
      <c r="B13" s="7">
        <v>42294.0</v>
      </c>
      <c r="C13" s="8" t="str">
        <f>HYPERLINK("http://www.101qs.com/3583","Broken Falcon Radar")</f>
        <v>Broken Falcon Radar</v>
      </c>
      <c r="D13" s="3"/>
      <c r="E13" s="3" t="s">
        <v>17</v>
      </c>
      <c r="F13" s="3" t="s">
        <v>17</v>
      </c>
      <c r="G13" s="5"/>
      <c r="H13" s="3" t="s">
        <v>17</v>
      </c>
      <c r="I13" s="5"/>
      <c r="J13" s="12" t="str">
        <f t="shared" ref="J13:J14" si="3">hyperlink("http://www.corestandards.org/Math/Content/7/G/B/4","7.G.4")</f>
        <v>7.G.4</v>
      </c>
      <c r="K13" s="13" t="str">
        <f t="shared" si="1"/>
        <v>MP.4</v>
      </c>
      <c r="L13" s="6"/>
      <c r="M13" s="6"/>
      <c r="N13" s="14" t="s">
        <v>33</v>
      </c>
      <c r="O13" s="8" t="str">
        <f>hyperlink("http://creativecommons.org/licenses/by-nc/2.0/","CC-NC-BY")</f>
        <v>CC-NC-BY</v>
      </c>
    </row>
    <row r="14">
      <c r="A14" s="7">
        <v>42217.0</v>
      </c>
      <c r="B14" s="7">
        <v>42217.0</v>
      </c>
      <c r="C14" s="8" t="str">
        <f>HYPERLINK("http://www.101qs.com/3542","Volcano")</f>
        <v>Volcano</v>
      </c>
      <c r="D14" s="3"/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12" t="str">
        <f t="shared" si="3"/>
        <v>7.G.4</v>
      </c>
      <c r="K14" s="13" t="str">
        <f t="shared" si="1"/>
        <v>MP.4</v>
      </c>
      <c r="L14" s="6"/>
      <c r="M14" s="6"/>
      <c r="N14" s="1" t="s">
        <v>34</v>
      </c>
      <c r="O14" s="8" t="str">
        <f t="shared" ref="O14:O22" si="4">hyperlink("http://creativecommons.org/licenses/by/2.0/","CC-BY")</f>
        <v>CC-BY</v>
      </c>
    </row>
    <row r="15">
      <c r="A15" s="7">
        <v>42194.0</v>
      </c>
      <c r="B15" s="7">
        <v>42194.0</v>
      </c>
      <c r="C15" s="8" t="str">
        <f>HYPERLINK("http://www.101qs.com/3530","Graduation")</f>
        <v>Graduation</v>
      </c>
      <c r="D15" s="3"/>
      <c r="E15" s="3" t="s">
        <v>17</v>
      </c>
      <c r="F15" s="3" t="s">
        <v>17</v>
      </c>
      <c r="G15" s="3" t="s">
        <v>17</v>
      </c>
      <c r="H15" s="3" t="s">
        <v>17</v>
      </c>
      <c r="I15" s="5"/>
      <c r="J15" s="12" t="str">
        <f>hyperlink("http://www.corestandards.org/Math/Content/7/RP/A/1","7.RP.1")</f>
        <v>7.RP.1</v>
      </c>
      <c r="K15" s="13" t="str">
        <f t="shared" si="1"/>
        <v>MP.4</v>
      </c>
      <c r="L15" s="6"/>
      <c r="M15" s="6"/>
      <c r="N15" s="14" t="s">
        <v>35</v>
      </c>
      <c r="O15" s="8" t="str">
        <f t="shared" si="4"/>
        <v>CC-BY</v>
      </c>
    </row>
    <row r="16">
      <c r="A16" s="7">
        <v>41928.0</v>
      </c>
      <c r="B16" s="7">
        <v>41928.0</v>
      </c>
      <c r="C16" s="8" t="str">
        <f>HYPERLINK("http://www.101qs.com/3199","Coin Counting")</f>
        <v>Coin Counting</v>
      </c>
      <c r="D16" s="3"/>
      <c r="E16" s="3" t="s">
        <v>17</v>
      </c>
      <c r="F16" s="3" t="s">
        <v>17</v>
      </c>
      <c r="G16" s="3" t="s">
        <v>17</v>
      </c>
      <c r="H16" s="3" t="s">
        <v>17</v>
      </c>
      <c r="I16" s="5"/>
      <c r="J16" s="19" t="str">
        <f>HYPERLINK("http://www.corestandards.org/Math/Content/8/EE/C/8/b/","8.EE.8b")</f>
        <v>8.EE.8b</v>
      </c>
      <c r="K16" s="6"/>
      <c r="L16" s="6"/>
      <c r="M16" s="6"/>
      <c r="N16" s="1" t="s">
        <v>36</v>
      </c>
      <c r="O16" s="8" t="str">
        <f t="shared" si="4"/>
        <v>CC-BY</v>
      </c>
    </row>
    <row r="17">
      <c r="A17" s="7">
        <v>41836.0</v>
      </c>
      <c r="B17" s="7">
        <v>41836.0</v>
      </c>
      <c r="C17" s="8" t="str">
        <f>HYPERLINK("http://www.101qs.com/3059-rotonda-west-fl","Rotonda West, FL")</f>
        <v>Rotonda West, FL</v>
      </c>
      <c r="D17" s="3"/>
      <c r="E17" s="3" t="s">
        <v>17</v>
      </c>
      <c r="F17" s="3" t="s">
        <v>17</v>
      </c>
      <c r="G17" s="3" t="s">
        <v>17</v>
      </c>
      <c r="H17" s="3" t="s">
        <v>17</v>
      </c>
      <c r="I17" s="3" t="s">
        <v>17</v>
      </c>
      <c r="J17" s="18" t="str">
        <f>HYPERLINK("http://www.corestandards.org/Math/Content/HSG/C/A/2/","G-C.2")</f>
        <v>G-C.2</v>
      </c>
      <c r="K17" s="13" t="str">
        <f t="shared" ref="K17:K19" si="5">hyperlink("http://www.corestandards.org/Math/Practice/MP4", "MP.4")</f>
        <v>MP.4</v>
      </c>
      <c r="L17" s="6"/>
      <c r="M17" s="6"/>
      <c r="N17" s="1" t="s">
        <v>37</v>
      </c>
      <c r="O17" s="8" t="str">
        <f t="shared" si="4"/>
        <v>CC-BY</v>
      </c>
    </row>
    <row r="18">
      <c r="A18" s="7">
        <v>41815.0</v>
      </c>
      <c r="B18" s="7">
        <v>41815.0</v>
      </c>
      <c r="C18" s="8" t="str">
        <f>HYPERLINK("http://www.101qs.com/3043","Nana's Lemonade")</f>
        <v>Nana's Lemonade</v>
      </c>
      <c r="D18" s="3"/>
      <c r="E18" s="3" t="s">
        <v>17</v>
      </c>
      <c r="F18" s="3" t="s">
        <v>17</v>
      </c>
      <c r="G18" s="3" t="s">
        <v>17</v>
      </c>
      <c r="H18" s="3" t="s">
        <v>17</v>
      </c>
      <c r="I18" s="3" t="s">
        <v>17</v>
      </c>
      <c r="J18" s="12" t="str">
        <f>hyperlink("http://www.corestandards.org/Math/Content/6/NS/A/1/", "6.NS.1")</f>
        <v>6.NS.1</v>
      </c>
      <c r="K18" s="13" t="str">
        <f t="shared" si="5"/>
        <v>MP.4</v>
      </c>
      <c r="L18" s="6"/>
      <c r="M18" s="6"/>
      <c r="N18" s="1" t="s">
        <v>38</v>
      </c>
      <c r="O18" s="8" t="str">
        <f t="shared" si="4"/>
        <v>CC-BY</v>
      </c>
    </row>
    <row r="19">
      <c r="A19" s="7">
        <v>41812.0</v>
      </c>
      <c r="B19" s="7">
        <v>41812.0</v>
      </c>
      <c r="C19" s="8" t="str">
        <f>HYPERLINK("http://www.101qs.com/3038","Dandy Candies")</f>
        <v>Dandy Candies</v>
      </c>
      <c r="D19" s="3"/>
      <c r="E19" s="3" t="s">
        <v>17</v>
      </c>
      <c r="F19" s="3" t="s">
        <v>17</v>
      </c>
      <c r="G19" s="3" t="s">
        <v>17</v>
      </c>
      <c r="H19" s="3" t="s">
        <v>17</v>
      </c>
      <c r="I19" s="3" t="s">
        <v>17</v>
      </c>
      <c r="J19" s="12" t="str">
        <f>hyperlink("http://www.corestandards.org/Math/Content/6/G/A/4/", "6.G.4")</f>
        <v>6.G.4</v>
      </c>
      <c r="K19" s="13" t="str">
        <f t="shared" si="5"/>
        <v>MP.4</v>
      </c>
      <c r="L19" s="13" t="str">
        <f>hyperlink("http://www.corestandards.org/Math/Practice/MP7", "MP.7")</f>
        <v>MP.7</v>
      </c>
      <c r="N19" s="1" t="s">
        <v>39</v>
      </c>
      <c r="O19" s="8" t="str">
        <f t="shared" si="4"/>
        <v>CC-BY</v>
      </c>
    </row>
    <row r="20">
      <c r="A20" s="7">
        <v>41771.0</v>
      </c>
      <c r="B20" s="7">
        <v>41771.0</v>
      </c>
      <c r="C20" s="8" t="str">
        <f>HYPERLINK("http://www.101qs.com/2985","Money Duck")</f>
        <v>Money Duck</v>
      </c>
      <c r="D20" s="3"/>
      <c r="E20" s="3" t="s">
        <v>17</v>
      </c>
      <c r="F20" s="3" t="s">
        <v>17</v>
      </c>
      <c r="G20" s="3" t="s">
        <v>17</v>
      </c>
      <c r="H20" s="5"/>
      <c r="I20" s="3" t="s">
        <v>17</v>
      </c>
      <c r="J20" s="18" t="str">
        <f>HYPERLINK("http://www.corestandards.org/Math/Content/HSS/MD/#CCSS.Math.Content.HSS.MD.A.4","S-MD.4")</f>
        <v>S-MD.4</v>
      </c>
      <c r="K20" s="18" t="str">
        <f>HYPERLINK("http://www.corestandards.org/Math/Content/HSS/MD/#CCSS.Math.Content.HSS.MD.B.5","S-MD.5a")</f>
        <v>S-MD.5a</v>
      </c>
      <c r="L20" s="13" t="str">
        <f t="shared" ref="L20:L21" si="6">hyperlink("http://www.corestandards.org/Math/Practice/MP4", "MP.4")</f>
        <v>MP.4</v>
      </c>
      <c r="M20" s="6"/>
      <c r="N20" s="1" t="s">
        <v>40</v>
      </c>
      <c r="O20" s="8" t="str">
        <f t="shared" si="4"/>
        <v>CC-BY</v>
      </c>
    </row>
    <row r="21">
      <c r="A21" s="7">
        <v>41701.0</v>
      </c>
      <c r="B21" s="7">
        <v>41701.0</v>
      </c>
      <c r="C21" s="8" t="str">
        <f>HYPERLINK("http://www.101qs.com/2859","Circle-Square")</f>
        <v>Circle-Square</v>
      </c>
      <c r="D21" s="3"/>
      <c r="E21" s="3" t="s">
        <v>17</v>
      </c>
      <c r="F21" s="3" t="s">
        <v>17</v>
      </c>
      <c r="G21" s="3" t="s">
        <v>17</v>
      </c>
      <c r="H21" s="5"/>
      <c r="I21" s="3" t="s">
        <v>17</v>
      </c>
      <c r="J21" s="18" t="str">
        <f>hyperlink("http://www.corestandards.org/Math/Content/HSA/CED/A/1", "A-CED.1")</f>
        <v>A-CED.1</v>
      </c>
      <c r="K21" s="18" t="str">
        <f>hyperlink("http://www.corestandards.org/Math/Content/HSA/REI/B/4", "A-REI.4")</f>
        <v>A-REI.4</v>
      </c>
      <c r="L21" s="13" t="str">
        <f t="shared" si="6"/>
        <v>MP.4</v>
      </c>
      <c r="M21" s="6"/>
      <c r="N21" s="1" t="s">
        <v>41</v>
      </c>
      <c r="O21" s="8" t="str">
        <f t="shared" si="4"/>
        <v>CC-BY</v>
      </c>
    </row>
    <row r="22">
      <c r="A22" s="7">
        <v>41694.0</v>
      </c>
      <c r="B22" s="7">
        <v>41694.0</v>
      </c>
      <c r="C22" s="8" t="str">
        <f>HYPERLINK("http://www.101qs.com/2841-nanas-paint-mixup","Nana's Paint Mixup")</f>
        <v>Nana's Paint Mixup</v>
      </c>
      <c r="D22" s="3"/>
      <c r="E22" s="3" t="s">
        <v>17</v>
      </c>
      <c r="F22" s="3" t="s">
        <v>17</v>
      </c>
      <c r="G22" s="5"/>
      <c r="H22" s="3" t="s">
        <v>17</v>
      </c>
      <c r="I22" s="3" t="s">
        <v>17</v>
      </c>
      <c r="J22" s="12" t="str">
        <f>hyperlink("http://www.corestandards.org/Math/Content/6/RP/A/3", "6.RP.3")</f>
        <v>6.RP.3</v>
      </c>
      <c r="K22" s="13" t="str">
        <f t="shared" ref="K22:K27" si="7">hyperlink("http://www.corestandards.org/Math/Practice/MP4", "MP.4")</f>
        <v>MP.4</v>
      </c>
      <c r="L22" s="6"/>
      <c r="M22" s="6"/>
      <c r="N22" s="1" t="s">
        <v>42</v>
      </c>
      <c r="O22" s="8" t="str">
        <f t="shared" si="4"/>
        <v>CC-BY</v>
      </c>
    </row>
    <row r="23">
      <c r="A23" s="7">
        <v>41684.0</v>
      </c>
      <c r="B23" s="7">
        <v>41684.0</v>
      </c>
      <c r="C23" s="8" t="str">
        <f>HYPERLINK("http://www.101qs.com/2714","Super Stairs")</f>
        <v>Super Stairs</v>
      </c>
      <c r="D23" s="3"/>
      <c r="E23" s="3" t="s">
        <v>17</v>
      </c>
      <c r="F23" s="3" t="s">
        <v>17</v>
      </c>
      <c r="G23" s="3" t="s">
        <v>17</v>
      </c>
      <c r="H23" s="3" t="s">
        <v>17</v>
      </c>
      <c r="I23" s="3" t="s">
        <v>17</v>
      </c>
      <c r="J23" s="18" t="str">
        <f>hyperlink("http://www.corestandards.org/Math/Content/HSF/BF/A/2","F-BF.2")</f>
        <v>F-BF.2</v>
      </c>
      <c r="K23" s="13" t="str">
        <f t="shared" si="7"/>
        <v>MP.4</v>
      </c>
      <c r="L23" s="6"/>
      <c r="M23" s="6"/>
      <c r="N23" s="1" t="s">
        <v>43</v>
      </c>
      <c r="O23" s="8" t="str">
        <f>hyperlink("http://creativecommons.org/licenses/by-nc/2.0/","CC-NC-BY")</f>
        <v>CC-NC-BY</v>
      </c>
    </row>
    <row r="24">
      <c r="A24" s="7">
        <v>41510.0</v>
      </c>
      <c r="B24" s="7">
        <v>41510.0</v>
      </c>
      <c r="C24" s="8" t="str">
        <f>HYPERLINK("http://www.101qs.com/2468-shipping-routes","Shipping Routes")</f>
        <v>Shipping Routes</v>
      </c>
      <c r="D24" s="3"/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12" t="str">
        <f>hyperlink("http://www.corestandards.org/Math/Content/6/NS/B/4", "6.NS.4")</f>
        <v>6.NS.4</v>
      </c>
      <c r="K24" s="13" t="str">
        <f t="shared" si="7"/>
        <v>MP.4</v>
      </c>
      <c r="L24" s="6"/>
      <c r="M24" s="6"/>
      <c r="N24" s="14" t="s">
        <v>44</v>
      </c>
      <c r="O24" s="8" t="str">
        <f t="shared" ref="O24:O26" si="8">hyperlink("http://creativecommons.org/licenses/by/2.0/","CC-BY")</f>
        <v>CC-BY</v>
      </c>
    </row>
    <row r="25">
      <c r="A25" s="7">
        <v>41490.0</v>
      </c>
      <c r="B25" s="7">
        <v>41490.0</v>
      </c>
      <c r="C25" s="8" t="str">
        <f>HYPERLINK("http://www.101qs.com/2450-ferris-wheel","Ferris Wheel")</f>
        <v>Ferris Wheel</v>
      </c>
      <c r="D25" s="3"/>
      <c r="E25" s="3" t="s">
        <v>17</v>
      </c>
      <c r="F25" s="3" t="s">
        <v>17</v>
      </c>
      <c r="G25" s="3" t="s">
        <v>17</v>
      </c>
      <c r="H25" s="3" t="s">
        <v>17</v>
      </c>
      <c r="I25" s="3" t="s">
        <v>17</v>
      </c>
      <c r="J25" s="18" t="str">
        <f>hyperlink("http://www.corestandards.org/Math/Content/HSF/TF/B/5", "F-TF.5")</f>
        <v>F-TF.5</v>
      </c>
      <c r="K25" s="13" t="str">
        <f t="shared" si="7"/>
        <v>MP.4</v>
      </c>
      <c r="L25" s="6"/>
      <c r="M25" s="6"/>
      <c r="N25" s="1" t="s">
        <v>45</v>
      </c>
      <c r="O25" s="8" t="str">
        <f t="shared" si="8"/>
        <v>CC-BY</v>
      </c>
    </row>
    <row r="26">
      <c r="A26" s="7">
        <v>41472.0</v>
      </c>
      <c r="B26" s="7">
        <v>41472.0</v>
      </c>
      <c r="C26" s="8" t="str">
        <f>HYPERLINK("http://www.101qs.com/2352-meatballs","Meatballs")</f>
        <v>Meatballs</v>
      </c>
      <c r="D26" s="3"/>
      <c r="E26" s="3" t="s">
        <v>17</v>
      </c>
      <c r="F26" s="3" t="s">
        <v>17</v>
      </c>
      <c r="G26" s="3" t="s">
        <v>17</v>
      </c>
      <c r="H26" s="3" t="s">
        <v>17</v>
      </c>
      <c r="I26" s="3" t="s">
        <v>17</v>
      </c>
      <c r="J26" s="18" t="str">
        <f>hyperlink("http://www.corestandards.org/Math/Content/HSG/MG/A/1", "G-MG.1")</f>
        <v>G-MG.1</v>
      </c>
      <c r="K26" s="13" t="str">
        <f t="shared" si="7"/>
        <v>MP.4</v>
      </c>
      <c r="L26" s="6"/>
      <c r="M26" s="6"/>
      <c r="N26" s="1" t="s">
        <v>46</v>
      </c>
      <c r="O26" s="8" t="str">
        <f t="shared" si="8"/>
        <v>CC-BY</v>
      </c>
    </row>
    <row r="27">
      <c r="A27" s="7">
        <v>41339.0</v>
      </c>
      <c r="B27" s="7">
        <v>41339.0</v>
      </c>
      <c r="C27" s="8" t="str">
        <f>HYPERLINK("http://threeacts.mrmeyer.com/duelingdiscounts/","Dueling Discounts")</f>
        <v>Dueling Discounts</v>
      </c>
      <c r="D27" s="3"/>
      <c r="E27" s="3" t="s">
        <v>17</v>
      </c>
      <c r="F27" s="3" t="s">
        <v>17</v>
      </c>
      <c r="G27" s="3" t="s">
        <v>17</v>
      </c>
      <c r="H27" s="5"/>
      <c r="I27" s="3" t="s">
        <v>17</v>
      </c>
      <c r="J27" s="12" t="str">
        <f>hyperlink("http://www.corestandards.org/Math/Content/7/RP/A/3","7.RP.3")</f>
        <v>7.RP.3</v>
      </c>
      <c r="K27" s="13" t="str">
        <f t="shared" si="7"/>
        <v>MP.4</v>
      </c>
      <c r="L27" s="6"/>
      <c r="M27" s="6"/>
      <c r="N27" s="14" t="s">
        <v>47</v>
      </c>
      <c r="O27" s="8" t="str">
        <f t="shared" ref="O27:O51" si="9">hyperlink("http://creativecommons.org/licenses/by-nc/2.0/","CC-NC-BY")</f>
        <v>CC-NC-BY</v>
      </c>
    </row>
    <row r="28">
      <c r="A28" s="7">
        <v>41339.0</v>
      </c>
      <c r="B28" s="7">
        <v>41339.0</v>
      </c>
      <c r="C28" s="8" t="str">
        <f>HYPERLINK("http://threeacts.mrmeyer.com/finalsweek/","Finals Week")</f>
        <v>Finals Week</v>
      </c>
      <c r="D28" s="3"/>
      <c r="E28" s="3" t="s">
        <v>17</v>
      </c>
      <c r="F28" s="3" t="s">
        <v>17</v>
      </c>
      <c r="G28" s="3" t="s">
        <v>17</v>
      </c>
      <c r="H28" s="5"/>
      <c r="I28" s="3" t="s">
        <v>17</v>
      </c>
      <c r="J28" s="12" t="str">
        <f>hyperlink("http://www.corestandards.org/Math/Content/6/RP/A/2", "6.RP.2")</f>
        <v>6.RP.2</v>
      </c>
      <c r="K28" s="13" t="str">
        <f>HYPERLINK("http://www.corestandards.org/Math/Practice/MP3","MP.3")</f>
        <v>MP.3</v>
      </c>
      <c r="L28" s="13" t="str">
        <f>hyperlink("http://www.corestandards.org/Math/Practice/MP4", "MP.4")</f>
        <v>MP.4</v>
      </c>
      <c r="M28" s="6"/>
      <c r="N28" s="1" t="s">
        <v>48</v>
      </c>
      <c r="O28" s="8" t="str">
        <f t="shared" si="9"/>
        <v>CC-NC-BY</v>
      </c>
    </row>
    <row r="29">
      <c r="A29" s="7">
        <v>41310.0</v>
      </c>
      <c r="B29" s="7">
        <v>41310.0</v>
      </c>
      <c r="C29" s="8" t="str">
        <f>HYPERLINK("http://threeacts.mrmeyer.com/bubblewrap/","Bubble Wrap")</f>
        <v>Bubble Wrap</v>
      </c>
      <c r="D29" s="3"/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12" t="str">
        <f>hyperlink("http://www.corestandards.org/Math/Content/6/G/A/1", "6.G.1")</f>
        <v>6.G.1</v>
      </c>
      <c r="K29" s="13" t="str">
        <f t="shared" ref="K29:K32" si="10">hyperlink("http://www.corestandards.org/Math/Practice/MP4", "MP.4")</f>
        <v>MP.4</v>
      </c>
      <c r="L29" s="6"/>
      <c r="M29" s="6"/>
      <c r="N29" s="14" t="s">
        <v>49</v>
      </c>
      <c r="O29" s="8" t="str">
        <f t="shared" si="9"/>
        <v>CC-NC-BY</v>
      </c>
    </row>
    <row r="30">
      <c r="A30" s="7">
        <v>41310.0</v>
      </c>
      <c r="B30" s="7">
        <v>41310.0</v>
      </c>
      <c r="C30" s="8" t="str">
        <f>HYPERLINK("http://threeacts.mrmeyer.com/ditchdiggers/","Ditch Diggers")</f>
        <v>Ditch Diggers</v>
      </c>
      <c r="D30" s="3"/>
      <c r="E30" s="3" t="s">
        <v>17</v>
      </c>
      <c r="F30" s="3" t="s">
        <v>17</v>
      </c>
      <c r="G30" s="3" t="s">
        <v>17</v>
      </c>
      <c r="H30" s="3" t="s">
        <v>17</v>
      </c>
      <c r="I30" s="3" t="s">
        <v>17</v>
      </c>
      <c r="J30" s="12" t="str">
        <f>HYPERLINK("http://www.corestandards.org/Math/Content/8/EE/C/7","8.EE.7")</f>
        <v>8.EE.7</v>
      </c>
      <c r="K30" s="13" t="str">
        <f t="shared" si="10"/>
        <v>MP.4</v>
      </c>
      <c r="L30" s="6"/>
      <c r="M30" s="6"/>
      <c r="N30" s="1" t="s">
        <v>50</v>
      </c>
      <c r="O30" s="8" t="str">
        <f t="shared" si="9"/>
        <v>CC-NC-BY</v>
      </c>
    </row>
    <row r="31">
      <c r="A31" s="7">
        <v>41310.0</v>
      </c>
      <c r="B31" s="7">
        <v>41310.0</v>
      </c>
      <c r="C31" s="8" t="str">
        <f>HYPERLINK("http://threeacts.mrmeyer.com/scrambler/","Scrambler")</f>
        <v>Scrambler</v>
      </c>
      <c r="D31" s="3"/>
      <c r="E31" s="3" t="s">
        <v>17</v>
      </c>
      <c r="F31" s="3" t="s">
        <v>17</v>
      </c>
      <c r="G31" s="3" t="s">
        <v>17</v>
      </c>
      <c r="H31" s="3" t="s">
        <v>17</v>
      </c>
      <c r="I31" s="3" t="s">
        <v>17</v>
      </c>
      <c r="J31" s="18" t="str">
        <f>hyperlink("http://www.corestandards.org/Math/Content/HSF/TF/B/5", "F-TF.5")</f>
        <v>F-TF.5</v>
      </c>
      <c r="K31" s="13" t="str">
        <f t="shared" si="10"/>
        <v>MP.4</v>
      </c>
      <c r="L31" s="6"/>
      <c r="M31" s="6"/>
      <c r="N31" s="1" t="s">
        <v>51</v>
      </c>
      <c r="O31" s="8" t="str">
        <f t="shared" si="9"/>
        <v>CC-NC-BY</v>
      </c>
    </row>
    <row r="32">
      <c r="A32" s="7">
        <v>41283.0</v>
      </c>
      <c r="B32" s="7">
        <v>41283.0</v>
      </c>
      <c r="C32" s="8" t="str">
        <f>HYPERLINK("http://threeacts.mrmeyer.com/toothpicks/","Toothpicks")</f>
        <v>Toothpicks</v>
      </c>
      <c r="D32" s="3"/>
      <c r="E32" s="3" t="s">
        <v>17</v>
      </c>
      <c r="F32" s="3" t="s">
        <v>17</v>
      </c>
      <c r="G32" s="3" t="s">
        <v>17</v>
      </c>
      <c r="H32" s="3" t="s">
        <v>17</v>
      </c>
      <c r="I32" s="3" t="s">
        <v>17</v>
      </c>
      <c r="J32" s="18" t="str">
        <f>hyperlink("http://www.corestandards.org/Math/Content/HSF/LE/A/3", "F-LE.3")</f>
        <v>F-LE.3</v>
      </c>
      <c r="K32" s="13" t="str">
        <f t="shared" si="10"/>
        <v>MP.4</v>
      </c>
      <c r="L32" s="6"/>
      <c r="M32" s="6"/>
      <c r="N32" s="1" t="s">
        <v>52</v>
      </c>
      <c r="O32" s="8" t="str">
        <f t="shared" si="9"/>
        <v>CC-NC-BY</v>
      </c>
    </row>
    <row r="33">
      <c r="A33" s="7">
        <v>41253.0</v>
      </c>
      <c r="B33" s="7">
        <v>41253.0</v>
      </c>
      <c r="C33" s="8" t="str">
        <f>HYPERLINK("http://threeacts.mrmeyer.com/bestcircle/","Best Circle")</f>
        <v>Best Circle</v>
      </c>
      <c r="D33" s="3"/>
      <c r="E33" s="3" t="s">
        <v>17</v>
      </c>
      <c r="F33" s="3" t="s">
        <v>17</v>
      </c>
      <c r="G33" s="3" t="s">
        <v>17</v>
      </c>
      <c r="H33" s="3" t="s">
        <v>17</v>
      </c>
      <c r="I33" s="3" t="s">
        <v>17</v>
      </c>
      <c r="J33" s="18" t="str">
        <f t="shared" ref="J33:J36" si="11">hyperlink("http://www.corestandards.org/Math/Content/HSG/GPE/B/4", "G-GPE.4")</f>
        <v>G-GPE.4</v>
      </c>
      <c r="K33" s="13" t="str">
        <f t="shared" ref="K33:K36" si="12">HYPERLINK("http://www.corestandards.org/Math/Practice/MP3","MP.3")</f>
        <v>MP.3</v>
      </c>
      <c r="L33" s="13" t="str">
        <f t="shared" ref="L33:L36" si="13">hyperlink("http://www.corestandards.org/Math/Practice/MP4", "MP.4")</f>
        <v>MP.4</v>
      </c>
      <c r="M33" s="6"/>
      <c r="N33" s="1" t="s">
        <v>53</v>
      </c>
      <c r="O33" s="8" t="str">
        <f t="shared" si="9"/>
        <v>CC-NC-BY</v>
      </c>
    </row>
    <row r="34">
      <c r="A34" s="7">
        <v>41253.0</v>
      </c>
      <c r="B34" s="7">
        <v>41253.0</v>
      </c>
      <c r="C34" s="8" t="str">
        <f>HYPERLINK("http://threeacts.mrmeyer.com/bestmidpoint/","Best Midpoint")</f>
        <v>Best Midpoint</v>
      </c>
      <c r="D34" s="3"/>
      <c r="E34" s="3" t="s">
        <v>17</v>
      </c>
      <c r="F34" s="3" t="s">
        <v>17</v>
      </c>
      <c r="G34" s="3" t="s">
        <v>17</v>
      </c>
      <c r="H34" s="3" t="s">
        <v>17</v>
      </c>
      <c r="I34" s="3" t="s">
        <v>17</v>
      </c>
      <c r="J34" s="18" t="str">
        <f t="shared" si="11"/>
        <v>G-GPE.4</v>
      </c>
      <c r="K34" s="13" t="str">
        <f t="shared" si="12"/>
        <v>MP.3</v>
      </c>
      <c r="L34" s="13" t="str">
        <f t="shared" si="13"/>
        <v>MP.4</v>
      </c>
      <c r="M34" s="6"/>
      <c r="N34" s="1" t="s">
        <v>54</v>
      </c>
      <c r="O34" s="8" t="str">
        <f t="shared" si="9"/>
        <v>CC-NC-BY</v>
      </c>
    </row>
    <row r="35">
      <c r="A35" s="7">
        <v>41253.0</v>
      </c>
      <c r="B35" s="7">
        <v>41253.0</v>
      </c>
      <c r="C35" s="8" t="str">
        <f>HYPERLINK("http://threeacts.mrmeyer.com/bestsquare/","Best Square")</f>
        <v>Best Square</v>
      </c>
      <c r="D35" s="3"/>
      <c r="E35" s="3" t="s">
        <v>17</v>
      </c>
      <c r="F35" s="3" t="s">
        <v>17</v>
      </c>
      <c r="G35" s="3" t="s">
        <v>17</v>
      </c>
      <c r="H35" s="3" t="s">
        <v>17</v>
      </c>
      <c r="I35" s="3" t="s">
        <v>17</v>
      </c>
      <c r="J35" s="18" t="str">
        <f t="shared" si="11"/>
        <v>G-GPE.4</v>
      </c>
      <c r="K35" s="13" t="str">
        <f t="shared" si="12"/>
        <v>MP.3</v>
      </c>
      <c r="L35" s="13" t="str">
        <f t="shared" si="13"/>
        <v>MP.4</v>
      </c>
      <c r="M35" s="6"/>
      <c r="N35" s="1" t="s">
        <v>55</v>
      </c>
      <c r="O35" s="8" t="str">
        <f t="shared" si="9"/>
        <v>CC-NC-BY</v>
      </c>
    </row>
    <row r="36">
      <c r="A36" s="7">
        <v>41253.0</v>
      </c>
      <c r="B36" s="7">
        <v>41253.0</v>
      </c>
      <c r="C36" s="8" t="str">
        <f>HYPERLINK("http://threeacts.mrmeyer.com/besttriangle/","Best Triangle")</f>
        <v>Best Triangle</v>
      </c>
      <c r="D36" s="3"/>
      <c r="E36" s="3" t="s">
        <v>17</v>
      </c>
      <c r="F36" s="3" t="s">
        <v>17</v>
      </c>
      <c r="G36" s="3" t="s">
        <v>17</v>
      </c>
      <c r="H36" s="3" t="s">
        <v>17</v>
      </c>
      <c r="I36" s="3" t="s">
        <v>17</v>
      </c>
      <c r="J36" s="18" t="str">
        <f t="shared" si="11"/>
        <v>G-GPE.4</v>
      </c>
      <c r="K36" s="13" t="str">
        <f t="shared" si="12"/>
        <v>MP.3</v>
      </c>
      <c r="L36" s="13" t="str">
        <f t="shared" si="13"/>
        <v>MP.4</v>
      </c>
      <c r="M36" s="6"/>
      <c r="N36" s="1" t="s">
        <v>56</v>
      </c>
      <c r="O36" s="8" t="str">
        <f t="shared" si="9"/>
        <v>CC-NC-BY</v>
      </c>
    </row>
    <row r="37">
      <c r="A37" s="7">
        <v>41199.0</v>
      </c>
      <c r="B37" s="7">
        <v>41199.0</v>
      </c>
      <c r="C37" s="8" t="str">
        <f>HYPERLINK("http://threeacts.mrmeyer.com/pixelpattern/","Pixel Pattern")</f>
        <v>Pixel Pattern</v>
      </c>
      <c r="D37" s="3"/>
      <c r="E37" s="3" t="s">
        <v>17</v>
      </c>
      <c r="F37" s="3" t="s">
        <v>17</v>
      </c>
      <c r="G37" s="3" t="s">
        <v>17</v>
      </c>
      <c r="H37" s="3" t="s">
        <v>17</v>
      </c>
      <c r="I37" s="3" t="s">
        <v>17</v>
      </c>
      <c r="J37" s="18" t="str">
        <f>hyperlink("http://www.corestandards.org/Math/Content/HSF/LE/A/2", "F-LE.2")</f>
        <v>F-LE.2</v>
      </c>
      <c r="K37" s="13" t="str">
        <f t="shared" ref="K37:K39" si="14">hyperlink("http://www.corestandards.org/Math/Practice/MP4", "MP.4")</f>
        <v>MP.4</v>
      </c>
      <c r="L37" s="6"/>
      <c r="M37" s="6"/>
      <c r="N37" s="1" t="s">
        <v>57</v>
      </c>
      <c r="O37" s="8" t="str">
        <f t="shared" si="9"/>
        <v>CC-NC-BY</v>
      </c>
    </row>
    <row r="38">
      <c r="A38" s="7">
        <v>41180.0</v>
      </c>
      <c r="B38" s="7">
        <v>41180.0</v>
      </c>
      <c r="C38" s="8" t="str">
        <f>HYPERLINK("http://threeacts.mrmeyer.com/neptune/","Neptune")</f>
        <v>Neptune</v>
      </c>
      <c r="D38" s="3"/>
      <c r="E38" s="3" t="s">
        <v>17</v>
      </c>
      <c r="F38" s="3" t="s">
        <v>17</v>
      </c>
      <c r="G38" s="3" t="s">
        <v>17</v>
      </c>
      <c r="H38" s="3" t="s">
        <v>17</v>
      </c>
      <c r="I38" s="5"/>
      <c r="J38" s="12" t="str">
        <f t="shared" ref="J38:J39" si="15">hyperlink("http://www.corestandards.org/Math/Content/6/RP/A/3", "6.RP.3")</f>
        <v>6.RP.3</v>
      </c>
      <c r="K38" s="13" t="str">
        <f t="shared" si="14"/>
        <v>MP.4</v>
      </c>
      <c r="L38" s="6"/>
      <c r="M38" s="6"/>
      <c r="N38" s="1" t="s">
        <v>58</v>
      </c>
      <c r="O38" s="8" t="str">
        <f t="shared" si="9"/>
        <v>CC-NC-BY</v>
      </c>
    </row>
    <row r="39">
      <c r="A39" s="7">
        <v>41180.0</v>
      </c>
      <c r="B39" s="7">
        <v>41199.0</v>
      </c>
      <c r="C39" s="8" t="str">
        <f>HYPERLINK("http://threeacts.mrmeyer.com/splittime/","Split Time")</f>
        <v>Split Time</v>
      </c>
      <c r="D39" s="3"/>
      <c r="E39" s="3" t="s">
        <v>17</v>
      </c>
      <c r="F39" s="3" t="s">
        <v>17</v>
      </c>
      <c r="G39" s="3" t="s">
        <v>17</v>
      </c>
      <c r="H39" s="3" t="s">
        <v>17</v>
      </c>
      <c r="I39" s="5"/>
      <c r="J39" s="12" t="str">
        <f t="shared" si="15"/>
        <v>6.RP.3</v>
      </c>
      <c r="K39" s="13" t="str">
        <f t="shared" si="14"/>
        <v>MP.4</v>
      </c>
      <c r="L39" s="6"/>
      <c r="M39" s="6"/>
      <c r="N39" s="1" t="s">
        <v>59</v>
      </c>
      <c r="O39" s="8" t="str">
        <f t="shared" si="9"/>
        <v>CC-NC-BY</v>
      </c>
    </row>
    <row r="40">
      <c r="A40" s="7">
        <v>41180.0</v>
      </c>
      <c r="B40" s="7">
        <v>41180.0</v>
      </c>
      <c r="C40" s="8" t="str">
        <f>HYPERLINK("http://threeacts.mrmeyer.com/tacocart/","Taco Cart")</f>
        <v>Taco Cart</v>
      </c>
      <c r="D40" s="3"/>
      <c r="E40" s="3" t="s">
        <v>17</v>
      </c>
      <c r="F40" s="3" t="s">
        <v>17</v>
      </c>
      <c r="G40" s="3" t="s">
        <v>17</v>
      </c>
      <c r="H40" s="3" t="s">
        <v>17</v>
      </c>
      <c r="I40" s="3" t="s">
        <v>17</v>
      </c>
      <c r="J40" s="12" t="str">
        <f>HYPERLINK("http://www.corestandards.org/Math/Content/8/G/B/7","8.G.7")</f>
        <v>8.G.7</v>
      </c>
      <c r="K40" s="18" t="str">
        <f>hyperlink("http://www.corestandards.org/Math/Content/HSF/IF/B/4", "F-IF.4")</f>
        <v>F-IF.4</v>
      </c>
      <c r="L40" s="13" t="str">
        <f t="shared" ref="L40:L41" si="16">hyperlink("http://www.corestandards.org/Math/Practice/MP4", "MP.4")</f>
        <v>MP.4</v>
      </c>
      <c r="M40" s="6"/>
      <c r="N40" s="1" t="s">
        <v>60</v>
      </c>
      <c r="O40" s="8" t="str">
        <f t="shared" si="9"/>
        <v>CC-NC-BY</v>
      </c>
    </row>
    <row r="41">
      <c r="A41" s="7">
        <v>41137.0</v>
      </c>
      <c r="B41" s="7">
        <v>41137.0</v>
      </c>
      <c r="C41" s="8" t="str">
        <f>HYPERLINK("http://threeacts.mrmeyer.com/pennycircle/","Penny Circle")</f>
        <v>Penny Circle</v>
      </c>
      <c r="D41" s="3"/>
      <c r="E41" s="3" t="s">
        <v>17</v>
      </c>
      <c r="F41" s="3" t="s">
        <v>17</v>
      </c>
      <c r="G41" s="3" t="s">
        <v>17</v>
      </c>
      <c r="H41" s="3" t="s">
        <v>17</v>
      </c>
      <c r="I41" s="3" t="s">
        <v>17</v>
      </c>
      <c r="J41" s="12" t="str">
        <f>hyperlink("http://www.corestandards.org/Math/Content/7/G/B/4","7.G.4")</f>
        <v>7.G.4</v>
      </c>
      <c r="K41" s="18" t="str">
        <f>HYPERLINK("http://www.corestandards.org/the-standards/mathematics/hs-statistics-and-probability/interpreting-categorical-and-quantitative-data/#s-id-6","S-ID.6")</f>
        <v>S-ID.6</v>
      </c>
      <c r="L41" s="13" t="str">
        <f t="shared" si="16"/>
        <v>MP.4</v>
      </c>
      <c r="M41" s="6"/>
      <c r="N41" s="1" t="s">
        <v>61</v>
      </c>
      <c r="O41" s="8" t="str">
        <f t="shared" si="9"/>
        <v>CC-NC-BY</v>
      </c>
    </row>
    <row r="42">
      <c r="A42" s="7">
        <v>41137.0</v>
      </c>
      <c r="B42" s="7">
        <v>41137.0</v>
      </c>
      <c r="C42" s="8" t="str">
        <f>HYPERLINK("http://threeacts.mrmeyer.com/playingcatchup/","Playing Catch Up")</f>
        <v>Playing Catch Up</v>
      </c>
      <c r="D42" s="3"/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12" t="str">
        <f>HYPERLINK("http://www.corestandards.org/Math/Content/8/EE/C/8","8.EE.8")</f>
        <v>8.EE.8</v>
      </c>
      <c r="K42" s="13" t="str">
        <f t="shared" ref="K42:K45" si="17">hyperlink("http://www.corestandards.org/Math/Practice/MP4", "MP.4")</f>
        <v>MP.4</v>
      </c>
      <c r="L42" s="6"/>
      <c r="M42" s="6"/>
      <c r="N42" s="1" t="s">
        <v>62</v>
      </c>
      <c r="O42" s="8" t="str">
        <f t="shared" si="9"/>
        <v>CC-NC-BY</v>
      </c>
    </row>
    <row r="43">
      <c r="A43" s="7">
        <v>41137.0</v>
      </c>
      <c r="B43" s="7">
        <v>41137.0</v>
      </c>
      <c r="C43" s="8" t="str">
        <f>HYPERLINK("http://threeacts.mrmeyer.com/theslowforty/","The Slow Forty")</f>
        <v>The Slow Forty</v>
      </c>
      <c r="D43" s="3"/>
      <c r="E43" s="3" t="s">
        <v>17</v>
      </c>
      <c r="F43" s="3" t="s">
        <v>17</v>
      </c>
      <c r="G43" s="5"/>
      <c r="H43" s="3" t="s">
        <v>17</v>
      </c>
      <c r="I43" s="3" t="s">
        <v>17</v>
      </c>
      <c r="J43" s="20" t="str">
        <f>HYPERLINK("http://www.corestandards.org/Math/Content/5/MD/A/1","5.MD.1")</f>
        <v>5.MD.1</v>
      </c>
      <c r="K43" s="13" t="str">
        <f t="shared" si="17"/>
        <v>MP.4</v>
      </c>
      <c r="L43" s="6"/>
      <c r="M43" s="6"/>
      <c r="N43" s="1" t="s">
        <v>63</v>
      </c>
      <c r="O43" s="8" t="str">
        <f t="shared" si="9"/>
        <v>CC-NC-BY</v>
      </c>
    </row>
    <row r="44">
      <c r="A44" s="7">
        <v>41087.0</v>
      </c>
      <c r="B44" s="7">
        <v>41087.0</v>
      </c>
      <c r="C44" s="8" t="str">
        <f>HYPERLINK("http://threeacts.mrmeyer.com/doublesunglasses/","Double Sunglasses")</f>
        <v>Double Sunglasses</v>
      </c>
      <c r="D44" s="3"/>
      <c r="E44" s="3" t="s">
        <v>17</v>
      </c>
      <c r="F44" s="3" t="s">
        <v>17</v>
      </c>
      <c r="G44" s="5"/>
      <c r="H44" s="3" t="s">
        <v>17</v>
      </c>
      <c r="I44" s="3" t="s">
        <v>17</v>
      </c>
      <c r="J44" s="18" t="str">
        <f>hyperlink("http://www.corestandards.org/Math/Content/HSF/LE/A/1", "F-LE.1")</f>
        <v>F-LE.1</v>
      </c>
      <c r="K44" s="13" t="str">
        <f t="shared" si="17"/>
        <v>MP.4</v>
      </c>
      <c r="L44" s="6"/>
      <c r="M44" s="6"/>
      <c r="N44" s="1" t="s">
        <v>64</v>
      </c>
      <c r="O44" s="8" t="str">
        <f t="shared" si="9"/>
        <v>CC-NC-BY</v>
      </c>
    </row>
    <row r="45">
      <c r="A45" s="7">
        <v>41087.0</v>
      </c>
      <c r="B45" s="7">
        <v>41087.0</v>
      </c>
      <c r="C45" s="8" t="str">
        <f>HYPERLINK("http://threeacts.mrmeyer.com/luckycow/","Lucky Cow")</f>
        <v>Lucky Cow</v>
      </c>
      <c r="D45" s="3"/>
      <c r="E45" s="3" t="s">
        <v>17</v>
      </c>
      <c r="F45" s="3" t="s">
        <v>17</v>
      </c>
      <c r="G45" s="5"/>
      <c r="H45" s="5"/>
      <c r="I45" s="3" t="s">
        <v>17</v>
      </c>
      <c r="J45" s="18" t="str">
        <f>hyperlink("http://www.corestandards.org/Math/Content/HSG/C/B/5", "G-C.5")</f>
        <v>G-C.5</v>
      </c>
      <c r="K45" s="13" t="str">
        <f t="shared" si="17"/>
        <v>MP.4</v>
      </c>
      <c r="L45" s="6"/>
      <c r="M45" s="6"/>
      <c r="N45" s="1" t="s">
        <v>65</v>
      </c>
      <c r="O45" s="8" t="str">
        <f t="shared" si="9"/>
        <v>CC-NC-BY</v>
      </c>
    </row>
    <row r="46">
      <c r="A46" s="7">
        <v>41060.0</v>
      </c>
      <c r="B46" s="7">
        <v>41060.0</v>
      </c>
      <c r="C46" s="8" t="str">
        <f>HYPERLINK("http://threeacts.mrmeyer.com/coffeetraveler/","Coffee Traveler")</f>
        <v>Coffee Traveler</v>
      </c>
      <c r="D46" s="3"/>
      <c r="E46" s="3" t="s">
        <v>17</v>
      </c>
      <c r="F46" s="3" t="s">
        <v>17</v>
      </c>
      <c r="G46" s="3" t="s">
        <v>17</v>
      </c>
      <c r="H46" s="3" t="s">
        <v>17</v>
      </c>
      <c r="I46" s="3" t="s">
        <v>17</v>
      </c>
      <c r="J46" s="12" t="str">
        <f t="shared" ref="J46:J49" si="18">hyperlink("http://www.corestandards.org/Math/Content/7/G/B/4","7.G.4")</f>
        <v>7.G.4</v>
      </c>
      <c r="K46" s="12" t="str">
        <f t="shared" ref="K46:K47" si="19">hyperlink("http://www.corestandards.org/Math/Content/7/G/B/6","7.G.6")</f>
        <v>7.G.6</v>
      </c>
      <c r="L46" s="13" t="str">
        <f t="shared" ref="L46:L48" si="20">hyperlink("http://www.corestandards.org/Math/Practice/MP4", "MP.4")</f>
        <v>MP.4</v>
      </c>
      <c r="M46" s="6"/>
      <c r="N46" s="1" t="s">
        <v>66</v>
      </c>
      <c r="O46" s="8" t="str">
        <f t="shared" si="9"/>
        <v>CC-NC-BY</v>
      </c>
    </row>
    <row r="47">
      <c r="A47" s="7">
        <v>41060.0</v>
      </c>
      <c r="B47" s="7">
        <v>41085.0</v>
      </c>
      <c r="C47" s="8" t="str">
        <f>HYPERLINK("http://threeacts.mrmeyer.com/popcornpicker/","Popcorn Picker")</f>
        <v>Popcorn Picker</v>
      </c>
      <c r="D47" s="3"/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12" t="str">
        <f t="shared" si="18"/>
        <v>7.G.4</v>
      </c>
      <c r="K47" s="12" t="str">
        <f t="shared" si="19"/>
        <v>7.G.6</v>
      </c>
      <c r="L47" s="13" t="str">
        <f t="shared" si="20"/>
        <v>MP.4</v>
      </c>
      <c r="M47" s="6"/>
      <c r="N47" s="1" t="s">
        <v>67</v>
      </c>
      <c r="O47" s="8" t="str">
        <f t="shared" si="9"/>
        <v>CC-NC-BY</v>
      </c>
    </row>
    <row r="48">
      <c r="A48" s="7">
        <v>41029.0</v>
      </c>
      <c r="B48" s="7">
        <v>41029.0</v>
      </c>
      <c r="C48" s="8" t="str">
        <f>HYPERLINK("http://threeacts.mrmeyer.com/coincarpet/","Coin Carpet")</f>
        <v>Coin Carpet</v>
      </c>
      <c r="D48" s="3"/>
      <c r="E48" s="3" t="s">
        <v>17</v>
      </c>
      <c r="F48" s="3" t="s">
        <v>17</v>
      </c>
      <c r="G48" s="3" t="s">
        <v>17</v>
      </c>
      <c r="H48" s="5"/>
      <c r="I48" s="3" t="s">
        <v>17</v>
      </c>
      <c r="J48" s="12" t="str">
        <f t="shared" si="18"/>
        <v>7.G.4</v>
      </c>
      <c r="K48" s="12" t="str">
        <f>hyperlink("http://www.corestandards.org/Math/Content/7/RP/A/3","7.RP.3")</f>
        <v>7.RP.3</v>
      </c>
      <c r="L48" s="13" t="str">
        <f t="shared" si="20"/>
        <v>MP.4</v>
      </c>
      <c r="M48" s="6"/>
      <c r="N48" s="1" t="s">
        <v>68</v>
      </c>
      <c r="O48" s="8" t="str">
        <f t="shared" si="9"/>
        <v>CC-NC-BY</v>
      </c>
    </row>
    <row r="49">
      <c r="A49" s="7">
        <v>41029.0</v>
      </c>
      <c r="B49" s="7">
        <v>41029.0</v>
      </c>
      <c r="C49" s="8" t="str">
        <f>HYPERLINK("http://threeacts.mrmeyer.com/pizzadoubler/","Pizza Doubler")</f>
        <v>Pizza Doubler</v>
      </c>
      <c r="D49" s="3"/>
      <c r="E49" s="3" t="s">
        <v>17</v>
      </c>
      <c r="F49" s="3" t="s">
        <v>17</v>
      </c>
      <c r="G49" s="3" t="s">
        <v>17</v>
      </c>
      <c r="H49" s="5"/>
      <c r="I49" s="3" t="s">
        <v>17</v>
      </c>
      <c r="J49" s="12" t="str">
        <f t="shared" si="18"/>
        <v>7.G.4</v>
      </c>
      <c r="K49" s="13" t="str">
        <f>hyperlink("http://www.corestandards.org/Math/Practice/MP4", "MP.4")</f>
        <v>MP.4</v>
      </c>
      <c r="L49" s="6"/>
      <c r="M49" s="6"/>
      <c r="N49" s="1" t="s">
        <v>69</v>
      </c>
      <c r="O49" s="8" t="str">
        <f t="shared" si="9"/>
        <v>CC-NC-BY</v>
      </c>
    </row>
    <row r="50">
      <c r="A50" s="7">
        <v>41023.0</v>
      </c>
      <c r="B50" s="7">
        <v>41023.0</v>
      </c>
      <c r="C50" s="8" t="str">
        <f>HYPERLINK("http://threeacts.mrmeyer.com/frysbank/","Fry's Bank")</f>
        <v>Fry's Bank</v>
      </c>
      <c r="D50" s="3"/>
      <c r="E50" s="3" t="s">
        <v>17</v>
      </c>
      <c r="F50" s="3" t="s">
        <v>17</v>
      </c>
      <c r="G50" s="5"/>
      <c r="H50" s="3" t="s">
        <v>17</v>
      </c>
      <c r="I50" s="3" t="s">
        <v>17</v>
      </c>
      <c r="J50" s="18" t="str">
        <f>hyperlink("http://www.corestandards.org/Math/Content/HSF/LE/A/1", "F-LE.1")</f>
        <v>F-LE.1</v>
      </c>
      <c r="K50" s="21" t="str">
        <f>hyperlink("http://www.corestandards.org/Math/Content/HSF/LE/A/2", "F-LE.2")</f>
        <v>F-LE.2</v>
      </c>
      <c r="L50" s="13" t="str">
        <f>hyperlink("http://www.corestandards.org/Math/Practice/MP4", "MP.4")</f>
        <v>MP.4</v>
      </c>
      <c r="M50" s="6"/>
      <c r="N50" s="1" t="s">
        <v>70</v>
      </c>
      <c r="O50" s="8" t="str">
        <f t="shared" si="9"/>
        <v>CC-NC-BY</v>
      </c>
    </row>
    <row r="51">
      <c r="A51" s="7">
        <v>41023.0</v>
      </c>
      <c r="B51" s="7">
        <v>41023.0</v>
      </c>
      <c r="C51" s="8" t="str">
        <f>HYPERLINK("http://threeacts.mrmeyer.com/leakyfaucet/","Leaky Faucet")</f>
        <v>Leaky Faucet</v>
      </c>
      <c r="D51" s="3"/>
      <c r="E51" s="3" t="s">
        <v>17</v>
      </c>
      <c r="F51" s="3" t="s">
        <v>17</v>
      </c>
      <c r="G51" s="3" t="s">
        <v>17</v>
      </c>
      <c r="H51" s="3" t="s">
        <v>17</v>
      </c>
      <c r="I51" s="3" t="s">
        <v>17</v>
      </c>
      <c r="J51" s="12" t="str">
        <f>hyperlink("http://www.corestandards.org/Math/Content/6/RP/A/3", "6.RP.3")</f>
        <v>6.RP.3</v>
      </c>
      <c r="K51" s="13" t="str">
        <f t="shared" ref="K51:K54" si="21">hyperlink("http://www.corestandards.org/Math/Practice/MP4", "MP.4")</f>
        <v>MP.4</v>
      </c>
      <c r="L51" s="6"/>
      <c r="M51" s="6"/>
      <c r="N51" s="1" t="s">
        <v>71</v>
      </c>
      <c r="O51" s="8" t="str">
        <f t="shared" si="9"/>
        <v>CC-NC-BY</v>
      </c>
    </row>
    <row r="52">
      <c r="A52" s="7">
        <v>41005.0</v>
      </c>
      <c r="B52" s="7">
        <v>41005.0</v>
      </c>
      <c r="C52" s="8" t="str">
        <f>HYPERLINK("https://s3.amazonaws.com/threeacts/gmailtap.zip","Gmail Tap")</f>
        <v>Gmail Tap</v>
      </c>
      <c r="D52" s="5"/>
      <c r="E52" s="5"/>
      <c r="F52" s="3" t="s">
        <v>17</v>
      </c>
      <c r="G52" s="5"/>
      <c r="H52" s="3" t="s">
        <v>17</v>
      </c>
      <c r="I52" s="5"/>
      <c r="J52" s="18" t="str">
        <f>hyperlink("http://www.corestandards.org/Math/Content/HSF/LE/A/1", "F-LE.1")</f>
        <v>F-LE.1</v>
      </c>
      <c r="K52" s="13" t="str">
        <f t="shared" si="21"/>
        <v>MP.4</v>
      </c>
      <c r="L52" s="6"/>
      <c r="M52" s="6"/>
      <c r="N52" s="1" t="s">
        <v>72</v>
      </c>
      <c r="O52" s="8" t="str">
        <f t="shared" ref="O52:O54" si="22">hyperlink("http://creativecommons.org/licenses/by/2.0/","CC-BY")</f>
        <v>CC-BY</v>
      </c>
    </row>
    <row r="53">
      <c r="A53" s="7">
        <v>41005.0</v>
      </c>
      <c r="B53" s="7">
        <v>41005.0</v>
      </c>
      <c r="C53" s="8" t="str">
        <f>HYPERLINK("https://s3.amazonaws.com/threeacts/hawaiihalfway.zip","Halfway to Hawaii")</f>
        <v>Halfway to Hawaii</v>
      </c>
      <c r="D53" s="5"/>
      <c r="E53" s="5"/>
      <c r="F53" s="3" t="s">
        <v>17</v>
      </c>
      <c r="G53" s="3" t="s">
        <v>17</v>
      </c>
      <c r="H53" s="5"/>
      <c r="I53" s="5"/>
      <c r="J53" s="20" t="str">
        <f>HYPERLINK("http://www.corestandards.org/Math/Content/4/MD/A/2","4.MD.2")</f>
        <v>4.MD.2</v>
      </c>
      <c r="K53" s="13" t="str">
        <f t="shared" si="21"/>
        <v>MP.4</v>
      </c>
      <c r="L53" s="6"/>
      <c r="M53" s="6"/>
      <c r="N53" s="1" t="s">
        <v>73</v>
      </c>
      <c r="O53" s="8" t="str">
        <f t="shared" si="22"/>
        <v>CC-BY</v>
      </c>
    </row>
    <row r="54">
      <c r="A54" s="7">
        <v>40989.0</v>
      </c>
      <c r="B54" s="7">
        <v>40989.0</v>
      </c>
      <c r="C54" s="8" t="str">
        <f>HYPERLINK("https://s3.amazonaws.com/threeacts/dollarwall.zip","Dollar Wall")</f>
        <v>Dollar Wall</v>
      </c>
      <c r="D54" s="5"/>
      <c r="E54" s="5"/>
      <c r="F54" s="3" t="s">
        <v>17</v>
      </c>
      <c r="G54" s="3" t="s">
        <v>17</v>
      </c>
      <c r="H54" s="3" t="s">
        <v>17</v>
      </c>
      <c r="I54" s="5"/>
      <c r="J54" s="12" t="str">
        <f>hyperlink("http://www.corestandards.org/Math/Content/6/G/A/1", "6.G.1")</f>
        <v>6.G.1</v>
      </c>
      <c r="K54" s="13" t="str">
        <f t="shared" si="21"/>
        <v>MP.4</v>
      </c>
      <c r="L54" s="6"/>
      <c r="M54" s="6"/>
      <c r="N54" s="1" t="s">
        <v>74</v>
      </c>
      <c r="O54" s="8" t="str">
        <f t="shared" si="22"/>
        <v>CC-BY</v>
      </c>
    </row>
    <row r="55">
      <c r="A55" s="7">
        <v>40974.0</v>
      </c>
      <c r="B55" s="7">
        <v>40974.0</v>
      </c>
      <c r="C55" s="8" t="str">
        <f>HYPERLINK("http://threeacts.mrmeyer.com/25billionapps/","25 Billion Apps")</f>
        <v>25 Billion Apps</v>
      </c>
      <c r="D55" s="3"/>
      <c r="E55" s="3" t="s">
        <v>17</v>
      </c>
      <c r="F55" s="3" t="s">
        <v>17</v>
      </c>
      <c r="G55" s="3" t="s">
        <v>17</v>
      </c>
      <c r="H55" s="3" t="s">
        <v>17</v>
      </c>
      <c r="I55" s="3" t="s">
        <v>17</v>
      </c>
      <c r="J55" s="12" t="str">
        <f>HYPERLINK("http://www.corestandards.org/Math/Content/8/F/B/4","8.F.4")</f>
        <v>8.F.4</v>
      </c>
      <c r="K55" s="13" t="str">
        <f>hyperlink("http://www.corestandards.org/Math/Practice/MP2", "MP.2")</f>
        <v>MP.2</v>
      </c>
      <c r="L55" s="13" t="str">
        <f>hyperlink("http://www.corestandards.org/Math/Practice/MP4", "MP.4")</f>
        <v>MP.4</v>
      </c>
      <c r="M55" s="6"/>
      <c r="N55" s="1" t="s">
        <v>75</v>
      </c>
      <c r="O55" s="8" t="str">
        <f>hyperlink("http://creativecommons.org/licenses/by-nc/2.0/","CC-NC-BY")</f>
        <v>CC-NC-BY</v>
      </c>
    </row>
    <row r="56">
      <c r="A56" s="7">
        <v>40974.0</v>
      </c>
      <c r="B56" s="7">
        <v>40974.0</v>
      </c>
      <c r="C56" s="8" t="str">
        <f>HYPERLINK("https://s3.amazonaws.com/threeacts/painrelief.zip","Pain Relief")</f>
        <v>Pain Relief</v>
      </c>
      <c r="D56" s="5"/>
      <c r="E56" s="5"/>
      <c r="F56" s="3" t="s">
        <v>17</v>
      </c>
      <c r="G56" s="5"/>
      <c r="H56" s="5"/>
      <c r="I56" s="5"/>
      <c r="J56" s="12" t="str">
        <f t="shared" ref="J56:J59" si="23">hyperlink("http://www.corestandards.org/Math/Content/6/RP/A/3", "6.RP.3")</f>
        <v>6.RP.3</v>
      </c>
      <c r="K56" s="6"/>
      <c r="L56" s="6"/>
      <c r="M56" s="6"/>
      <c r="N56" s="1" t="s">
        <v>76</v>
      </c>
      <c r="O56" s="8" t="str">
        <f t="shared" ref="O56:O58" si="24">hyperlink("http://creativecommons.org/licenses/by/2.0/","CC-BY")</f>
        <v>CC-BY</v>
      </c>
    </row>
    <row r="57">
      <c r="A57" s="7">
        <v>40968.0</v>
      </c>
      <c r="B57" s="7">
        <v>40968.0</v>
      </c>
      <c r="C57" s="8" t="str">
        <f>HYPERLINK("https://s3.amazonaws.com/threeacts/bolt.zip","Bolt")</f>
        <v>Bolt</v>
      </c>
      <c r="D57" s="5"/>
      <c r="E57" s="5"/>
      <c r="F57" s="3" t="s">
        <v>17</v>
      </c>
      <c r="G57" s="5"/>
      <c r="H57" s="3" t="s">
        <v>17</v>
      </c>
      <c r="I57" s="3" t="s">
        <v>17</v>
      </c>
      <c r="J57" s="12" t="str">
        <f t="shared" si="23"/>
        <v>6.RP.3</v>
      </c>
      <c r="K57" s="6"/>
      <c r="L57" s="6"/>
      <c r="M57" s="6"/>
      <c r="N57" s="1" t="s">
        <v>77</v>
      </c>
      <c r="O57" s="8" t="str">
        <f t="shared" si="24"/>
        <v>CC-BY</v>
      </c>
    </row>
    <row r="58">
      <c r="A58" s="7">
        <v>40968.0</v>
      </c>
      <c r="B58" s="7">
        <v>40968.0</v>
      </c>
      <c r="C58" s="8" t="str">
        <f>HYPERLINK("https://s3.amazonaws.com/threeacts/fortsteuben.zip","Fort Steuben")</f>
        <v>Fort Steuben</v>
      </c>
      <c r="D58" s="5"/>
      <c r="E58" s="5"/>
      <c r="F58" s="3" t="s">
        <v>17</v>
      </c>
      <c r="G58" s="3" t="s">
        <v>17</v>
      </c>
      <c r="H58" s="5"/>
      <c r="I58" s="5"/>
      <c r="J58" s="12" t="str">
        <f t="shared" si="23"/>
        <v>6.RP.3</v>
      </c>
      <c r="K58" s="6"/>
      <c r="L58" s="6"/>
      <c r="M58" s="6"/>
      <c r="N58" s="1" t="s">
        <v>78</v>
      </c>
      <c r="O58" s="8" t="str">
        <f t="shared" si="24"/>
        <v>CC-BY</v>
      </c>
    </row>
    <row r="59">
      <c r="A59" s="7">
        <v>40966.0</v>
      </c>
      <c r="B59" s="7">
        <v>40966.0</v>
      </c>
      <c r="C59" s="8" t="str">
        <f>HYPERLINK("http://threeacts.mrmeyer.com/nana/","Nana's Chocolate Milk")</f>
        <v>Nana's Chocolate Milk</v>
      </c>
      <c r="D59" s="3"/>
      <c r="E59" s="3" t="s">
        <v>17</v>
      </c>
      <c r="F59" s="3" t="s">
        <v>17</v>
      </c>
      <c r="G59" s="5"/>
      <c r="H59" s="3" t="s">
        <v>17</v>
      </c>
      <c r="I59" s="3" t="s">
        <v>17</v>
      </c>
      <c r="J59" s="12" t="str">
        <f t="shared" si="23"/>
        <v>6.RP.3</v>
      </c>
      <c r="K59" s="13" t="str">
        <f>hyperlink("http://www.corestandards.org/Math/Practice/MP4", "MP.4")</f>
        <v>MP.4</v>
      </c>
      <c r="L59" s="6"/>
      <c r="M59" s="6"/>
      <c r="N59" s="1" t="s">
        <v>79</v>
      </c>
      <c r="O59" s="8" t="str">
        <f t="shared" ref="O59:O69" si="25">hyperlink("http://creativecommons.org/licenses/by-nc/2.0/","CC-NC-BY")</f>
        <v>CC-NC-BY</v>
      </c>
    </row>
    <row r="60">
      <c r="A60" s="7">
        <v>40966.0</v>
      </c>
      <c r="B60" s="7">
        <v>40966.0</v>
      </c>
      <c r="C60" s="8" t="str">
        <f>HYPERLINK("http://threeacts.mrmeyer.com/yellowstarbursts/","Yellow Starbursts")</f>
        <v>Yellow Starbursts</v>
      </c>
      <c r="D60" s="3"/>
      <c r="E60" s="3" t="s">
        <v>17</v>
      </c>
      <c r="F60" s="3" t="s">
        <v>17</v>
      </c>
      <c r="G60" s="3" t="s">
        <v>17</v>
      </c>
      <c r="H60" s="3" t="s">
        <v>17</v>
      </c>
      <c r="I60" s="5"/>
      <c r="J60" s="12" t="str">
        <f>hyperlink("http://www.corestandards.org/Math/Content/7/SP/A/2","7.SP.2")</f>
        <v>7.SP.2</v>
      </c>
      <c r="K60" s="12" t="str">
        <f>hyperlink("http://www.corestandards.org/Math/Content/7/SP/C/6","7.SP.6")</f>
        <v>7.SP.6</v>
      </c>
      <c r="L60" s="13" t="str">
        <f>hyperlink("http://www.corestandards.org/Math/Practice/MP2", "MP.2")</f>
        <v>MP.2</v>
      </c>
      <c r="M60" s="13" t="str">
        <f>hyperlink("http://www.corestandards.org/Math/Practice/MP4", "MP.4")</f>
        <v>MP.4</v>
      </c>
      <c r="N60" s="1" t="s">
        <v>80</v>
      </c>
      <c r="O60" s="8" t="str">
        <f t="shared" si="25"/>
        <v>CC-NC-BY</v>
      </c>
    </row>
    <row r="61">
      <c r="A61" s="7">
        <v>40938.0</v>
      </c>
      <c r="B61" s="7">
        <v>40939.0</v>
      </c>
      <c r="C61" s="8" t="str">
        <f>hyperlink("http://mrmeyer.com/threeacts/cokevsprite/","Coke v Sprite")</f>
        <v>Coke v Sprite</v>
      </c>
      <c r="D61" s="3"/>
      <c r="E61" s="3" t="s">
        <v>17</v>
      </c>
      <c r="F61" s="3" t="s">
        <v>17</v>
      </c>
      <c r="G61" s="3" t="s">
        <v>17</v>
      </c>
      <c r="H61" s="3" t="s">
        <v>17</v>
      </c>
      <c r="I61" s="3" t="s">
        <v>17</v>
      </c>
      <c r="J61" s="12" t="str">
        <f>hyperlink("http://www.corestandards.org/Math/Content/6/RP/A/3", "6.RP.3")</f>
        <v>6.RP.3</v>
      </c>
      <c r="K61" s="6"/>
      <c r="L61" s="6"/>
      <c r="M61" s="6"/>
      <c r="N61" s="1" t="s">
        <v>81</v>
      </c>
      <c r="O61" s="8" t="str">
        <f t="shared" si="25"/>
        <v>CC-NC-BY</v>
      </c>
    </row>
    <row r="62">
      <c r="A62" s="7">
        <v>40938.0</v>
      </c>
      <c r="B62" s="7">
        <v>40964.0</v>
      </c>
      <c r="C62" s="8" t="str">
        <f>hyperlink("http://mrmeyer.com/threeacts/joulies/","Joulies")</f>
        <v>Joulies</v>
      </c>
      <c r="D62" s="3"/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12" t="str">
        <f>HYPERLINK("http://www.corestandards.org/Math/Content/8/F/B/5","8.F.5")</f>
        <v>8.F.5</v>
      </c>
      <c r="K62" s="13" t="str">
        <f>hyperlink("http://www.corestandards.org/Math/Practice/MP1", "MP.1")</f>
        <v>MP.1</v>
      </c>
      <c r="L62" s="13" t="str">
        <f>HYPERLINK("http://www.corestandards.org/Math/Practice/MP3","MP.3")</f>
        <v>MP.3</v>
      </c>
      <c r="M62" s="13" t="str">
        <f>hyperlink("http://www.corestandards.org/Math/Practice/MP4", "MP.4")</f>
        <v>MP.4</v>
      </c>
      <c r="N62" s="1" t="s">
        <v>82</v>
      </c>
      <c r="O62" s="8" t="str">
        <f t="shared" si="25"/>
        <v>CC-NC-BY</v>
      </c>
    </row>
    <row r="63">
      <c r="A63" s="7">
        <v>40938.0</v>
      </c>
      <c r="B63" s="7">
        <v>41000.0</v>
      </c>
      <c r="C63" s="8" t="str">
        <f>hyperlink("http://mrmeyer.com/threeacts/youpourichoose/","You Pour, I Choose")</f>
        <v>You Pour, I Choose</v>
      </c>
      <c r="D63" s="3"/>
      <c r="E63" s="3" t="s">
        <v>17</v>
      </c>
      <c r="F63" s="3" t="s">
        <v>17</v>
      </c>
      <c r="G63" s="3" t="s">
        <v>17</v>
      </c>
      <c r="H63" s="3" t="s">
        <v>17</v>
      </c>
      <c r="I63" s="3" t="s">
        <v>17</v>
      </c>
      <c r="J63" s="18" t="str">
        <f>hyperlink("http://www.corestandards.org/Math/Content/HSG/GMD/A/3", "G-GMD.3")</f>
        <v>G-GMD.3</v>
      </c>
      <c r="K63" s="13" t="str">
        <f>hyperlink("http://www.corestandards.org/Math/Practice/MP2", "MP.2")</f>
        <v>MP.2</v>
      </c>
      <c r="L63" s="13" t="str">
        <f>hyperlink("http://www.corestandards.org/Math/Practice/MP4", "MP.4")</f>
        <v>MP.4</v>
      </c>
      <c r="M63" s="6"/>
      <c r="N63" s="1" t="s">
        <v>83</v>
      </c>
      <c r="O63" s="8" t="str">
        <f t="shared" si="25"/>
        <v>CC-NC-BY</v>
      </c>
    </row>
    <row r="64">
      <c r="A64" s="7">
        <v>40906.0</v>
      </c>
      <c r="B64" s="7">
        <v>40961.0</v>
      </c>
      <c r="C64" s="8" t="str">
        <f>hyperlink("http://threeacts.mrmeyer.com/carcaravan/","Car Caravan")</f>
        <v>Car Caravan</v>
      </c>
      <c r="D64" s="3"/>
      <c r="E64" s="3" t="s">
        <v>17</v>
      </c>
      <c r="F64" s="3" t="s">
        <v>17</v>
      </c>
      <c r="G64" s="3" t="s">
        <v>17</v>
      </c>
      <c r="H64" s="3" t="s">
        <v>17</v>
      </c>
      <c r="I64" s="3" t="s">
        <v>17</v>
      </c>
      <c r="J64" s="18" t="str">
        <f>hyperlink("http://www.corestandards.org/Math/Content/HSG/MG/A/1", "G-MG.1")</f>
        <v>G-MG.1</v>
      </c>
      <c r="K64" s="6"/>
      <c r="L64" s="6"/>
      <c r="M64" s="6"/>
      <c r="N64" s="1" t="s">
        <v>84</v>
      </c>
      <c r="O64" s="8" t="str">
        <f t="shared" si="25"/>
        <v>CC-NC-BY</v>
      </c>
    </row>
    <row r="65">
      <c r="A65" s="7">
        <v>40850.0</v>
      </c>
      <c r="B65" s="7">
        <v>40964.0</v>
      </c>
      <c r="C65" s="8" t="str">
        <f>hyperlink("http://www.101qs.com/1989-domino-skyscraper","Domino Skyscraper")</f>
        <v>Domino Skyscraper</v>
      </c>
      <c r="D65" s="3"/>
      <c r="E65" s="3" t="s">
        <v>17</v>
      </c>
      <c r="F65" s="3" t="s">
        <v>17</v>
      </c>
      <c r="G65" s="3" t="s">
        <v>17</v>
      </c>
      <c r="H65" s="3" t="s">
        <v>17</v>
      </c>
      <c r="I65" s="3" t="s">
        <v>17</v>
      </c>
      <c r="J65" s="18" t="str">
        <f>hyperlink("http://www.corestandards.org/Math/Content/HSF/LE/A/2", "F-LE.2")</f>
        <v>F-LE.2</v>
      </c>
      <c r="K65" s="6"/>
      <c r="L65" s="6"/>
      <c r="M65" s="6"/>
      <c r="N65" s="1" t="s">
        <v>85</v>
      </c>
      <c r="O65" s="8" t="str">
        <f t="shared" si="25"/>
        <v>CC-NC-BY</v>
      </c>
    </row>
    <row r="66">
      <c r="A66" s="7">
        <v>40846.0</v>
      </c>
      <c r="B66" s="7">
        <v>40961.0</v>
      </c>
      <c r="C66" s="8" t="str">
        <f>hyperlink("http://mrmeyer.com/threeacts/hotcoffee/","Hot Coffee")</f>
        <v>Hot Coffee</v>
      </c>
      <c r="D66" s="3"/>
      <c r="E66" s="3" t="s">
        <v>17</v>
      </c>
      <c r="F66" s="3" t="s">
        <v>17</v>
      </c>
      <c r="G66" s="3" t="s">
        <v>17</v>
      </c>
      <c r="H66" s="3" t="s">
        <v>17</v>
      </c>
      <c r="I66" s="3" t="s">
        <v>17</v>
      </c>
      <c r="J66" s="18" t="str">
        <f>hyperlink("http://www.corestandards.org/Math/Content/HSG/MG/A/1", "G-MG.1")</f>
        <v>G-MG.1</v>
      </c>
      <c r="K66" s="18" t="str">
        <f>hyperlink("http://www.corestandards.org/Math/Content/HSG/MG/A/2", "G-MG.2")</f>
        <v>G-MG.2</v>
      </c>
      <c r="L66" s="18" t="str">
        <f>hyperlink("http://www.corestandards.org/Math/Content/HSG/GMD/A/3", "G-GMD.3")</f>
        <v>G-GMD.3</v>
      </c>
      <c r="M66" s="12" t="str">
        <f>hyperlink("http://www.corestandards.org/Math/Content/6/RP/A/3", "6.RP.3")</f>
        <v>6.RP.3</v>
      </c>
      <c r="N66" s="1" t="s">
        <v>86</v>
      </c>
      <c r="O66" s="8" t="str">
        <f t="shared" si="25"/>
        <v>CC-NC-BY</v>
      </c>
    </row>
    <row r="67">
      <c r="A67" s="7">
        <v>40846.0</v>
      </c>
      <c r="B67" s="7">
        <v>40846.0</v>
      </c>
      <c r="C67" s="8" t="str">
        <f>hyperlink("http://mrmeyer.com/threeacts/shrinkingdollar/","Incredible Shrinking Dollar")</f>
        <v>Incredible Shrinking Dollar</v>
      </c>
      <c r="D67" s="3"/>
      <c r="E67" s="3" t="s">
        <v>17</v>
      </c>
      <c r="F67" s="3" t="s">
        <v>17</v>
      </c>
      <c r="G67" s="3" t="s">
        <v>17</v>
      </c>
      <c r="H67" s="3" t="s">
        <v>17</v>
      </c>
      <c r="I67" s="3" t="s">
        <v>17</v>
      </c>
      <c r="J67" s="18" t="str">
        <f>hyperlink("http://www.corestandards.org/Math/Content/HSF/LE/A/2", "F-LE.2")</f>
        <v>F-LE.2</v>
      </c>
      <c r="K67" s="6"/>
      <c r="L67" s="6"/>
      <c r="M67" s="6"/>
      <c r="N67" s="1" t="s">
        <v>87</v>
      </c>
      <c r="O67" s="8" t="str">
        <f t="shared" si="25"/>
        <v>CC-NC-BY</v>
      </c>
    </row>
    <row r="68">
      <c r="A68" s="7">
        <v>40846.0</v>
      </c>
      <c r="B68" s="7">
        <v>40846.0</v>
      </c>
      <c r="C68" s="8" t="str">
        <f>hyperlink("http://mrmeyer.com/threeacts/superbear/","Super Bear")</f>
        <v>Super Bear</v>
      </c>
      <c r="D68" s="3"/>
      <c r="E68" s="3" t="s">
        <v>17</v>
      </c>
      <c r="F68" s="3" t="s">
        <v>17</v>
      </c>
      <c r="G68" s="3" t="s">
        <v>17</v>
      </c>
      <c r="H68" s="3" t="s">
        <v>17</v>
      </c>
      <c r="I68" s="3" t="s">
        <v>17</v>
      </c>
      <c r="J68" s="12" t="str">
        <f t="shared" ref="J68:J69" si="26">hyperlink("http://www.corestandards.org/Math/Content/6/RP/A/3", "6.RP.3")</f>
        <v>6.RP.3</v>
      </c>
      <c r="K68" s="6"/>
      <c r="L68" s="6"/>
      <c r="M68" s="6"/>
      <c r="N68" s="1" t="s">
        <v>88</v>
      </c>
      <c r="O68" s="8" t="str">
        <f t="shared" si="25"/>
        <v>CC-NC-BY</v>
      </c>
    </row>
    <row r="69">
      <c r="A69" s="7">
        <v>40814.0</v>
      </c>
      <c r="B69" s="7">
        <v>40924.0</v>
      </c>
      <c r="C69" s="8" t="str">
        <f>hyperlink("http://mrmeyer.com/threeacts/showervbath/","Shower v Bath")</f>
        <v>Shower v Bath</v>
      </c>
      <c r="D69" s="3"/>
      <c r="E69" s="3" t="s">
        <v>17</v>
      </c>
      <c r="F69" s="3" t="s">
        <v>17</v>
      </c>
      <c r="G69" s="3" t="s">
        <v>17</v>
      </c>
      <c r="H69" s="5"/>
      <c r="I69" s="3" t="s">
        <v>17</v>
      </c>
      <c r="J69" s="12" t="str">
        <f t="shared" si="26"/>
        <v>6.RP.3</v>
      </c>
      <c r="K69" s="6"/>
      <c r="L69" s="6"/>
      <c r="M69" s="6"/>
      <c r="N69" s="1" t="s">
        <v>89</v>
      </c>
      <c r="O69" s="8" t="str">
        <f t="shared" si="25"/>
        <v>CC-NC-BY</v>
      </c>
    </row>
    <row r="70">
      <c r="A70" s="7">
        <v>40811.0</v>
      </c>
      <c r="B70" s="7">
        <v>40811.0</v>
      </c>
      <c r="C70" s="8" t="str">
        <f>hyperlink("https://s3.amazonaws.com/threeacts/partialproduct.zip","Partial Product")</f>
        <v>Partial Product</v>
      </c>
      <c r="D70" s="5"/>
      <c r="E70" s="5"/>
      <c r="F70" s="3" t="s">
        <v>17</v>
      </c>
      <c r="G70" s="5"/>
      <c r="H70" s="5"/>
      <c r="I70" s="5"/>
      <c r="J70" s="12" t="str">
        <f>hyperlink("http://www.corestandards.org/Math/Content/6/RP/A/2", "6.RP.2")</f>
        <v>6.RP.2</v>
      </c>
      <c r="K70" s="6"/>
      <c r="L70" s="6"/>
      <c r="M70" s="6"/>
      <c r="N70" s="1" t="s">
        <v>90</v>
      </c>
      <c r="O70" s="8" t="str">
        <f t="shared" ref="O70:O72" si="27">hyperlink("http://creativecommons.org/licenses/by/2.0/","CC-BY")</f>
        <v>CC-BY</v>
      </c>
    </row>
    <row r="71">
      <c r="A71" s="7">
        <v>40799.0</v>
      </c>
      <c r="B71" s="7">
        <v>40799.0</v>
      </c>
      <c r="C71" s="8" t="str">
        <f>hyperlink("https://s3.amazonaws.com/threeacts/willithitthehoop.zip","Will It Hit The Hoop")</f>
        <v>Will It Hit The Hoop</v>
      </c>
      <c r="D71" s="5"/>
      <c r="E71" s="5"/>
      <c r="F71" s="3" t="s">
        <v>17</v>
      </c>
      <c r="G71" s="3" t="s">
        <v>17</v>
      </c>
      <c r="H71" s="3" t="s">
        <v>17</v>
      </c>
      <c r="I71" s="3" t="s">
        <v>17</v>
      </c>
      <c r="J71" s="18" t="str">
        <f>hyperlink("http://www.corestandards.org/Math/Content/HSF/BF/B/3", "F-BF.3")</f>
        <v>F-BF.3</v>
      </c>
      <c r="K71" s="6"/>
      <c r="L71" s="6"/>
      <c r="M71" s="6"/>
      <c r="N71" s="1" t="s">
        <v>91</v>
      </c>
      <c r="O71" s="8" t="str">
        <f t="shared" si="27"/>
        <v>CC-BY</v>
      </c>
    </row>
    <row r="72">
      <c r="A72" s="7">
        <v>40782.0</v>
      </c>
      <c r="B72" s="7">
        <v>40782.0</v>
      </c>
      <c r="C72" s="8" t="str">
        <f>hyperlink("https://s3.amazonaws.com/threeacts/obscuregeometry.zip","Obscure Geometry")</f>
        <v>Obscure Geometry</v>
      </c>
      <c r="D72" s="5"/>
      <c r="E72" s="5"/>
      <c r="F72" s="3" t="s">
        <v>17</v>
      </c>
      <c r="G72" s="5"/>
      <c r="H72" s="3" t="s">
        <v>17</v>
      </c>
      <c r="I72" s="3" t="s">
        <v>17</v>
      </c>
      <c r="J72" s="18" t="str">
        <f>hyperlink("http://www.corestandards.org/Math/Content/HSG/GPE/B/7", "G-GPE.7")</f>
        <v>G-GPE.7</v>
      </c>
      <c r="K72" s="6"/>
      <c r="L72" s="6"/>
      <c r="M72" s="6"/>
      <c r="N72" s="1" t="s">
        <v>92</v>
      </c>
      <c r="O72" s="8" t="str">
        <f t="shared" si="27"/>
        <v>CC-BY</v>
      </c>
    </row>
    <row r="73">
      <c r="A73" s="7">
        <v>40768.0</v>
      </c>
      <c r="B73" s="7">
        <v>40768.0</v>
      </c>
      <c r="C73" s="8" t="str">
        <f>hyperlink("http://mrmeyer.com/threeacts/speedoflight/","Speed of Light")</f>
        <v>Speed of Light</v>
      </c>
      <c r="D73" s="3"/>
      <c r="E73" s="3" t="s">
        <v>17</v>
      </c>
      <c r="F73" s="3" t="s">
        <v>17</v>
      </c>
      <c r="G73" s="3" t="s">
        <v>17</v>
      </c>
      <c r="H73" s="3" t="s">
        <v>17</v>
      </c>
      <c r="I73" s="3" t="s">
        <v>17</v>
      </c>
      <c r="J73" s="12" t="str">
        <f>hyperlink("http://www.corestandards.org/Math/Content/6/RP/A/3", "6.RP.3")</f>
        <v>6.RP.3</v>
      </c>
      <c r="K73" s="6"/>
      <c r="L73" s="6"/>
      <c r="M73" s="6"/>
      <c r="N73" s="1" t="s">
        <v>93</v>
      </c>
      <c r="O73" s="8" t="str">
        <f t="shared" ref="O73:O74" si="28">hyperlink("http://creativecommons.org/licenses/by-nc/2.0/","CC-NC-BY")</f>
        <v>CC-NC-BY</v>
      </c>
    </row>
    <row r="74">
      <c r="A74" s="7">
        <v>40763.0</v>
      </c>
      <c r="B74" s="7">
        <v>40961.0</v>
      </c>
      <c r="C74" s="8" t="str">
        <f>hyperlink("http://mrmeyer.com/threeacts/pyramidofpennies/","Pyramid of Pennies")</f>
        <v>Pyramid of Pennies</v>
      </c>
      <c r="D74" s="3"/>
      <c r="E74" s="3" t="s">
        <v>17</v>
      </c>
      <c r="F74" s="3" t="s">
        <v>17</v>
      </c>
      <c r="G74" s="3" t="s">
        <v>17</v>
      </c>
      <c r="H74" s="3" t="s">
        <v>17</v>
      </c>
      <c r="I74" s="3" t="s">
        <v>17</v>
      </c>
      <c r="J74" s="20" t="str">
        <f>HYPERLINK("http://www.corestandards.org/Math/Content/3/MD/C/7","3.MD.7")</f>
        <v>3.MD.7</v>
      </c>
      <c r="K74" s="18" t="str">
        <f>hyperlink("http://www.corestandards.org/Math/Content/HSF/BF/A/1", "F-BF.1")</f>
        <v>F-BF.1</v>
      </c>
      <c r="M74" s="6"/>
      <c r="N74" s="1" t="s">
        <v>94</v>
      </c>
      <c r="O74" s="8" t="str">
        <f t="shared" si="28"/>
        <v>CC-NC-BY</v>
      </c>
    </row>
    <row r="75">
      <c r="A75" s="7">
        <v>40755.0</v>
      </c>
      <c r="B75" s="7">
        <v>40755.0</v>
      </c>
      <c r="C75" s="8" t="str">
        <f>hyperlink("https://s3.amazonaws.com/threeacts/tickettoride.zip","Ticket to Ride")</f>
        <v>Ticket to Ride</v>
      </c>
      <c r="D75" s="5"/>
      <c r="E75" s="5"/>
      <c r="F75" s="3" t="s">
        <v>17</v>
      </c>
      <c r="G75" s="3" t="s">
        <v>17</v>
      </c>
      <c r="H75" s="3" t="s">
        <v>17</v>
      </c>
      <c r="I75" s="3" t="s">
        <v>17</v>
      </c>
      <c r="J75" s="12" t="str">
        <f>hyperlink("http://www.corestandards.org/Math/Content/7/G/B/6","7.G.6")</f>
        <v>7.G.6</v>
      </c>
      <c r="K75" s="12" t="str">
        <f>hyperlink("http://www.corestandards.org/Math/Content/6/RP/A/3", "6.RP.3")</f>
        <v>6.RP.3</v>
      </c>
      <c r="L75" s="6"/>
      <c r="M75" s="6"/>
      <c r="N75" s="1" t="s">
        <v>95</v>
      </c>
      <c r="O75" s="8" t="str">
        <f>hyperlink("http://creativecommons.org/licenses/by/2.0/","CC-BY")</f>
        <v>CC-BY</v>
      </c>
    </row>
    <row r="76">
      <c r="A76" s="7">
        <v>40753.0</v>
      </c>
      <c r="B76" s="7">
        <v>40753.0</v>
      </c>
      <c r="C76" s="8" t="str">
        <f>hyperlink("http://mrmeyer.com/threeacts/printjob/","Print Job")</f>
        <v>Print Job</v>
      </c>
      <c r="D76" s="3"/>
      <c r="E76" s="3" t="s">
        <v>17</v>
      </c>
      <c r="F76" s="3" t="s">
        <v>17</v>
      </c>
      <c r="G76" s="3" t="s">
        <v>17</v>
      </c>
      <c r="H76" s="3" t="s">
        <v>17</v>
      </c>
      <c r="I76" s="3" t="s">
        <v>17</v>
      </c>
      <c r="J76" s="12" t="str">
        <f>hyperlink("http://www.corestandards.org/Math/Content/6/RP/A/3", "6.RP.3")</f>
        <v>6.RP.3</v>
      </c>
      <c r="K76" s="6"/>
      <c r="L76" s="6"/>
      <c r="M76" s="6"/>
      <c r="N76" s="1" t="s">
        <v>96</v>
      </c>
      <c r="O76" s="8" t="str">
        <f>hyperlink("http://creativecommons.org/licenses/by-nc/2.0/","CC-NC-BY")</f>
        <v>CC-NC-BY</v>
      </c>
    </row>
    <row r="77">
      <c r="A77" s="7">
        <v>40748.0</v>
      </c>
      <c r="B77" s="7">
        <v>40748.0</v>
      </c>
      <c r="C77" s="8" t="str">
        <f>hyperlink("https://s3.amazonaws.com/threeacts/worldrecordairbag.zip","World Record Airbag")</f>
        <v>World Record Airbag</v>
      </c>
      <c r="D77" s="5"/>
      <c r="E77" s="5"/>
      <c r="F77" s="3" t="s">
        <v>17</v>
      </c>
      <c r="G77" s="5"/>
      <c r="H77" s="3" t="s">
        <v>17</v>
      </c>
      <c r="I77" s="5"/>
      <c r="J77" s="18" t="str">
        <f>hyperlink("http://www.corestandards.org/Math/Content/HSA/CED/A/1", "A-CED.1")</f>
        <v>A-CED.1</v>
      </c>
      <c r="K77" s="18" t="str">
        <f>hyperlink("http://www.corestandards.org/Math/Content/HSF/BF/A/1", "F-BF.1")</f>
        <v>F-BF.1</v>
      </c>
      <c r="L77" s="18" t="str">
        <f>hyperlink("http://www.corestandards.org/Math/Content/HSF/LE/A/3", "F-LE.3")</f>
        <v>F-LE.3</v>
      </c>
      <c r="M77" s="6"/>
      <c r="N77" s="1" t="s">
        <v>97</v>
      </c>
      <c r="O77" s="8" t="str">
        <f t="shared" ref="O77:O78" si="29">hyperlink("http://creativecommons.org/licenses/by/2.0/","CC-BY")</f>
        <v>CC-BY</v>
      </c>
    </row>
    <row r="78">
      <c r="A78" s="7">
        <v>40747.0</v>
      </c>
      <c r="B78" s="7">
        <v>40747.0</v>
      </c>
      <c r="C78" s="8" t="str">
        <f>hyperlink("https://s3.amazonaws.com/threeacts/amazon.zip","Amazon Percent Discount")</f>
        <v>Amazon Percent Discount</v>
      </c>
      <c r="D78" s="5"/>
      <c r="E78" s="5"/>
      <c r="F78" s="3" t="s">
        <v>17</v>
      </c>
      <c r="G78" s="5"/>
      <c r="H78" s="3" t="s">
        <v>17</v>
      </c>
      <c r="I78" s="3" t="s">
        <v>17</v>
      </c>
      <c r="J78" s="12" t="str">
        <f>hyperlink("http://www.corestandards.org/Math/Content/6/RP/A/3", "6.RP.3")</f>
        <v>6.RP.3</v>
      </c>
      <c r="K78" s="6"/>
      <c r="L78" s="6"/>
      <c r="M78" s="6"/>
      <c r="N78" s="1" t="s">
        <v>98</v>
      </c>
      <c r="O78" s="8" t="str">
        <f t="shared" si="29"/>
        <v>CC-BY</v>
      </c>
    </row>
    <row r="79">
      <c r="A79" s="7">
        <v>40747.0</v>
      </c>
      <c r="B79" s="7">
        <v>40961.0</v>
      </c>
      <c r="C79" s="8" t="str">
        <f>hyperlink("http://mrmeyer.com/threeacts/holes/","Holes")</f>
        <v>Holes</v>
      </c>
      <c r="D79" s="3"/>
      <c r="E79" s="3" t="s">
        <v>17</v>
      </c>
      <c r="F79" s="3" t="s">
        <v>17</v>
      </c>
      <c r="G79" s="3" t="s">
        <v>17</v>
      </c>
      <c r="H79" s="5"/>
      <c r="I79" s="3" t="s">
        <v>17</v>
      </c>
      <c r="J79" s="12" t="str">
        <f>hyperlink("http://www.corestandards.org/Math/Content/7/G/A/3","7.G.3")</f>
        <v>7.G.3</v>
      </c>
      <c r="K79" s="12" t="str">
        <f>hyperlink("http://www.corestandards.org/Math/Content/7/G/B/4","7.G.4")</f>
        <v>7.G.4</v>
      </c>
      <c r="L79" s="12" t="str">
        <f>hyperlink("http://www.corestandards.org/Math/Content/7/G/B/6","7.G.6")</f>
        <v>7.G.6</v>
      </c>
      <c r="M79" s="12" t="str">
        <f>hyperlink("http://www.corestandards.org/Math/Content/7/RP/A/1","7.RP.1")</f>
        <v>7.RP.1</v>
      </c>
      <c r="N79" s="1" t="s">
        <v>99</v>
      </c>
      <c r="O79" s="8" t="str">
        <f>hyperlink("http://creativecommons.org/licenses/by-nc/2.0/","CC-NC-BY")</f>
        <v>CC-NC-BY</v>
      </c>
    </row>
    <row r="80">
      <c r="A80" s="7">
        <v>40746.0</v>
      </c>
      <c r="B80" s="7">
        <v>40746.0</v>
      </c>
      <c r="C80" s="8" t="str">
        <f>hyperlink("https://s3.amazonaws.com/threeacts/brita.zip","Brita")</f>
        <v>Brita</v>
      </c>
      <c r="D80" s="5"/>
      <c r="E80" s="5"/>
      <c r="F80" s="3" t="s">
        <v>17</v>
      </c>
      <c r="G80" s="3" t="s">
        <v>17</v>
      </c>
      <c r="H80" s="3" t="s">
        <v>17</v>
      </c>
      <c r="I80" s="5"/>
      <c r="J80" s="12" t="str">
        <f>hyperlink("http://www.corestandards.org/Math/Content/7/G/B/4","7.G.4")</f>
        <v>7.G.4</v>
      </c>
      <c r="K80" s="6"/>
      <c r="L80" s="6"/>
      <c r="M80" s="6"/>
      <c r="N80" s="1" t="s">
        <v>100</v>
      </c>
      <c r="O80" s="8" t="str">
        <f t="shared" ref="O80:O85" si="30">hyperlink("http://creativecommons.org/licenses/by/2.0/","CC-BY")</f>
        <v>CC-BY</v>
      </c>
    </row>
    <row r="81">
      <c r="A81" s="7">
        <v>40746.0</v>
      </c>
      <c r="B81" s="7">
        <v>41003.0</v>
      </c>
      <c r="C81" s="8" t="str">
        <f>hyperlink("http://mrmeyer.com/threeacts/buckythebadger/","Bucky the Badger")</f>
        <v>Bucky the Badger</v>
      </c>
      <c r="D81" s="3"/>
      <c r="E81" s="3" t="s">
        <v>17</v>
      </c>
      <c r="F81" s="3" t="s">
        <v>17</v>
      </c>
      <c r="G81" s="3" t="s">
        <v>17</v>
      </c>
      <c r="H81" s="3" t="s">
        <v>17</v>
      </c>
      <c r="I81" s="3" t="s">
        <v>17</v>
      </c>
      <c r="J81" s="20" t="str">
        <f>HYPERLINK("http://www.corestandards.org/Math/Content/3/OA/D/9","3.OA.9")</f>
        <v>3.OA.9</v>
      </c>
      <c r="K81" s="13" t="str">
        <f>HYPERLINK("http://www.corestandards.org/Math/Practice/MP3","MP.3")</f>
        <v>MP.3</v>
      </c>
      <c r="L81" s="6"/>
      <c r="M81" s="6"/>
      <c r="N81" s="1" t="s">
        <v>101</v>
      </c>
      <c r="O81" s="8" t="str">
        <f t="shared" si="30"/>
        <v>CC-BY</v>
      </c>
    </row>
    <row r="82">
      <c r="A82" s="7">
        <v>40735.0</v>
      </c>
      <c r="B82" s="7">
        <v>40925.0</v>
      </c>
      <c r="C82" s="8" t="str">
        <f>hyperlink("https://s3.amazonaws.com/threeacts/applemothership.zip","Apple Mothership")</f>
        <v>Apple Mothership</v>
      </c>
      <c r="D82" s="5"/>
      <c r="E82" s="5"/>
      <c r="F82" s="3" t="s">
        <v>17</v>
      </c>
      <c r="G82" s="3" t="s">
        <v>17</v>
      </c>
      <c r="H82" s="5"/>
      <c r="I82" s="3" t="s">
        <v>17</v>
      </c>
      <c r="J82" s="18" t="str">
        <f>hyperlink("http://www.corestandards.org/Math/Content/HSG/MG/A/2", "G-MG.2")</f>
        <v>G-MG.2</v>
      </c>
      <c r="K82" s="13" t="str">
        <f>hyperlink("http://www.corestandards.org/Math/Practice/MP4", "MP.4")</f>
        <v>MP.4</v>
      </c>
      <c r="M82" s="6"/>
      <c r="N82" s="1" t="s">
        <v>102</v>
      </c>
      <c r="O82" s="8" t="str">
        <f t="shared" si="30"/>
        <v>CC-BY</v>
      </c>
    </row>
    <row r="83">
      <c r="A83" s="7">
        <v>40735.0</v>
      </c>
      <c r="B83" s="7">
        <v>40735.0</v>
      </c>
      <c r="C83" s="8" t="str">
        <f>hyperlink("https://s3.amazonaws.com/threeacts/bonecollector.zip","Bone Collector")</f>
        <v>Bone Collector</v>
      </c>
      <c r="D83" s="5"/>
      <c r="E83" s="5"/>
      <c r="F83" s="3" t="s">
        <v>17</v>
      </c>
      <c r="G83" s="3" t="s">
        <v>17</v>
      </c>
      <c r="H83" s="3" t="s">
        <v>17</v>
      </c>
      <c r="I83" s="3" t="s">
        <v>17</v>
      </c>
      <c r="J83" s="12" t="str">
        <f>hyperlink("http://www.corestandards.org/Math/Content/6/RP/A/3", "6.RP.3")</f>
        <v>6.RP.3</v>
      </c>
      <c r="K83" s="6"/>
      <c r="L83" s="6"/>
      <c r="M83" s="6"/>
      <c r="N83" s="1" t="s">
        <v>103</v>
      </c>
      <c r="O83" s="8" t="str">
        <f t="shared" si="30"/>
        <v>CC-BY</v>
      </c>
    </row>
    <row r="84">
      <c r="A84" s="7">
        <v>40735.0</v>
      </c>
      <c r="B84" s="7">
        <v>40735.0</v>
      </c>
      <c r="C84" s="8" t="str">
        <f>hyperlink("http://mrmeyer.com/threeacts/fallingglowsticks/","Falling Glowsticks")</f>
        <v>Falling Glowsticks</v>
      </c>
      <c r="D84" s="3"/>
      <c r="E84" s="3" t="s">
        <v>17</v>
      </c>
      <c r="F84" s="3" t="s">
        <v>17</v>
      </c>
      <c r="G84" s="5"/>
      <c r="H84" s="3" t="s">
        <v>17</v>
      </c>
      <c r="I84" s="3" t="s">
        <v>17</v>
      </c>
      <c r="J84" s="18" t="str">
        <f t="shared" ref="J84:J85" si="31">hyperlink("http://www.corestandards.org/Math/Content/HSA/CED/A/1", "A-CED.1")</f>
        <v>A-CED.1</v>
      </c>
      <c r="K84" s="18" t="str">
        <f t="shared" ref="K84:K85" si="32">hyperlink("http://www.corestandards.org/Math/Content/HSF/BF/A/1", "F-BF.1")</f>
        <v>F-BF.1</v>
      </c>
      <c r="L84" s="18" t="str">
        <f t="shared" ref="L84:L85" si="33">hyperlink("http://www.corestandards.org/Math/Content/HSF/LE/A/3", "F-LE.3")</f>
        <v>F-LE.3</v>
      </c>
      <c r="M84" s="6"/>
      <c r="N84" s="1" t="s">
        <v>104</v>
      </c>
      <c r="O84" s="8" t="str">
        <f t="shared" si="30"/>
        <v>CC-BY</v>
      </c>
    </row>
    <row r="85">
      <c r="A85" s="7">
        <v>40735.0</v>
      </c>
      <c r="B85" s="7">
        <v>40735.0</v>
      </c>
      <c r="C85" s="8" t="str">
        <f>hyperlink("http://mrmeyer.com/threeacts/fallingrocks/","Falling Rocks")</f>
        <v>Falling Rocks</v>
      </c>
      <c r="D85" s="3"/>
      <c r="E85" s="3" t="s">
        <v>17</v>
      </c>
      <c r="F85" s="3" t="s">
        <v>17</v>
      </c>
      <c r="G85" s="3" t="s">
        <v>17</v>
      </c>
      <c r="H85" s="5"/>
      <c r="I85" s="3" t="s">
        <v>17</v>
      </c>
      <c r="J85" s="18" t="str">
        <f t="shared" si="31"/>
        <v>A-CED.1</v>
      </c>
      <c r="K85" s="18" t="str">
        <f t="shared" si="32"/>
        <v>F-BF.1</v>
      </c>
      <c r="L85" s="18" t="str">
        <f t="shared" si="33"/>
        <v>F-LE.3</v>
      </c>
      <c r="M85" s="6"/>
      <c r="N85" s="1" t="s">
        <v>104</v>
      </c>
      <c r="O85" s="8" t="str">
        <f t="shared" si="30"/>
        <v>CC-BY</v>
      </c>
    </row>
    <row r="86">
      <c r="A86" s="7">
        <v>40734.0</v>
      </c>
      <c r="B86" s="7">
        <v>40906.0</v>
      </c>
      <c r="C86" s="8" t="str">
        <f>hyperlink("http://threeacts.mrmeyer.com/sugarpackets/","Sugar Packets")</f>
        <v>Sugar Packets</v>
      </c>
      <c r="D86" s="3"/>
      <c r="E86" s="3" t="s">
        <v>17</v>
      </c>
      <c r="F86" s="3" t="s">
        <v>17</v>
      </c>
      <c r="G86" s="3" t="s">
        <v>17</v>
      </c>
      <c r="H86" s="3" t="s">
        <v>17</v>
      </c>
      <c r="I86" s="3" t="s">
        <v>17</v>
      </c>
      <c r="J86" s="22" t="str">
        <f>HYPERLINK("http://www.corestandards.org/Math/Content/4/NBT/B/6/","4.NBT.6")</f>
        <v>4.NBT.6</v>
      </c>
      <c r="K86" s="6"/>
      <c r="L86" s="6"/>
      <c r="M86" s="6"/>
      <c r="N86" s="1" t="s">
        <v>105</v>
      </c>
      <c r="O86" s="8" t="str">
        <f t="shared" ref="O86:O87" si="34">hyperlink("http://creativecommons.org/licenses/by-nc/2.0/","CC-NC-BY")</f>
        <v>CC-NC-BY</v>
      </c>
    </row>
    <row r="87">
      <c r="A87" s="7">
        <v>40732.0</v>
      </c>
      <c r="B87" s="7">
        <v>40732.0</v>
      </c>
      <c r="C87" s="8" t="str">
        <f>hyperlink("http://mrmeyer.com/threeacts/watertank/","Water Tank")</f>
        <v>Water Tank</v>
      </c>
      <c r="D87" s="3"/>
      <c r="E87" s="3" t="s">
        <v>17</v>
      </c>
      <c r="F87" s="3" t="s">
        <v>17</v>
      </c>
      <c r="G87" s="3" t="s">
        <v>17</v>
      </c>
      <c r="H87" s="3" t="s">
        <v>17</v>
      </c>
      <c r="I87" s="3" t="s">
        <v>17</v>
      </c>
      <c r="J87" s="18" t="str">
        <f>hyperlink("http://www.corestandards.org/Math/Content/HSG/GMD/A/3", "G-GMD.3")</f>
        <v>G-GMD.3</v>
      </c>
      <c r="K87" s="18" t="str">
        <f>hyperlink("http://www.corestandards.org/Math/Content/HSG/GMD/B/4", "G-GMD.4")</f>
        <v>G-GMD.4</v>
      </c>
      <c r="L87" s="6"/>
      <c r="M87" s="6"/>
      <c r="N87" s="1" t="s">
        <v>106</v>
      </c>
      <c r="O87" s="8" t="str">
        <f t="shared" si="34"/>
        <v>CC-NC-BY</v>
      </c>
    </row>
    <row r="88">
      <c r="D88" s="5"/>
      <c r="E88" s="5"/>
      <c r="F88" s="5"/>
      <c r="G88" s="5"/>
      <c r="H88" s="5"/>
      <c r="I88" s="5"/>
      <c r="J88" s="6"/>
      <c r="K88" s="6"/>
      <c r="L88" s="6"/>
      <c r="M88" s="6"/>
    </row>
    <row r="89">
      <c r="D89" s="5"/>
      <c r="E89" s="5"/>
      <c r="F89" s="5"/>
      <c r="G89" s="5"/>
      <c r="H89" s="5"/>
      <c r="I89" s="5"/>
      <c r="J89" s="6"/>
      <c r="K89" s="6"/>
      <c r="L89" s="6"/>
      <c r="M89" s="6"/>
    </row>
    <row r="90">
      <c r="D90" s="5"/>
      <c r="E90" s="5"/>
      <c r="F90" s="5"/>
      <c r="G90" s="5"/>
      <c r="H90" s="5"/>
      <c r="I90" s="5"/>
      <c r="J90" s="6"/>
      <c r="K90" s="6"/>
      <c r="L90" s="6"/>
      <c r="M90" s="6"/>
    </row>
    <row r="91">
      <c r="D91" s="5"/>
      <c r="E91" s="5"/>
      <c r="F91" s="5"/>
      <c r="G91" s="5"/>
      <c r="H91" s="5"/>
      <c r="I91" s="5"/>
      <c r="K91" s="6"/>
      <c r="L91" s="6"/>
      <c r="M91" s="6"/>
    </row>
    <row r="92">
      <c r="D92" s="5"/>
      <c r="E92" s="5"/>
      <c r="F92" s="5"/>
      <c r="G92" s="5"/>
      <c r="H92" s="5"/>
      <c r="I92" s="5"/>
      <c r="K92" s="6"/>
    </row>
    <row r="93">
      <c r="D93" s="5"/>
      <c r="E93" s="5"/>
      <c r="F93" s="5"/>
      <c r="G93" s="5"/>
      <c r="H93" s="5"/>
      <c r="I93" s="5"/>
    </row>
    <row r="94">
      <c r="D94" s="5"/>
      <c r="E94" s="5"/>
      <c r="F94" s="5"/>
      <c r="G94" s="5"/>
      <c r="H94" s="5"/>
      <c r="I94" s="5"/>
    </row>
    <row r="95">
      <c r="D95" s="5"/>
      <c r="E95" s="5"/>
      <c r="F95" s="5"/>
      <c r="G95" s="5"/>
      <c r="H95" s="5"/>
      <c r="I95" s="5"/>
    </row>
    <row r="96">
      <c r="D96" s="5"/>
      <c r="E96" s="5"/>
      <c r="F96" s="5"/>
      <c r="G96" s="5"/>
      <c r="H96" s="5"/>
      <c r="I96" s="5"/>
    </row>
    <row r="97">
      <c r="D97" s="5"/>
      <c r="E97" s="5"/>
      <c r="F97" s="5"/>
      <c r="G97" s="5"/>
      <c r="H97" s="5"/>
      <c r="I97" s="5"/>
    </row>
    <row r="98">
      <c r="D98" s="5"/>
      <c r="E98" s="5"/>
      <c r="F98" s="5"/>
      <c r="G98" s="5"/>
      <c r="H98" s="5"/>
      <c r="I98" s="5"/>
    </row>
    <row r="99">
      <c r="D99" s="5"/>
      <c r="E99" s="5"/>
      <c r="F99" s="5"/>
      <c r="G99" s="5"/>
      <c r="H99" s="5"/>
      <c r="I99" s="5"/>
    </row>
    <row r="100">
      <c r="D100" s="5"/>
      <c r="E100" s="5"/>
      <c r="F100" s="5"/>
      <c r="G100" s="5"/>
      <c r="H100" s="5"/>
      <c r="I100" s="5"/>
    </row>
    <row r="101">
      <c r="D101" s="5"/>
      <c r="E101" s="5"/>
      <c r="F101" s="5"/>
      <c r="G101" s="5"/>
      <c r="H101" s="5"/>
      <c r="I101" s="5"/>
    </row>
    <row r="102">
      <c r="D102" s="5"/>
      <c r="E102" s="5"/>
      <c r="F102" s="5"/>
      <c r="G102" s="5"/>
      <c r="H102" s="5"/>
      <c r="I102" s="5"/>
    </row>
    <row r="103">
      <c r="D103" s="5"/>
      <c r="E103" s="5"/>
      <c r="F103" s="5"/>
      <c r="G103" s="5"/>
      <c r="H103" s="5"/>
      <c r="I103" s="5"/>
    </row>
    <row r="104">
      <c r="D104" s="5"/>
      <c r="E104" s="5"/>
      <c r="F104" s="5"/>
      <c r="G104" s="5"/>
      <c r="H104" s="5"/>
      <c r="I104" s="5"/>
    </row>
    <row r="105">
      <c r="D105" s="5"/>
      <c r="E105" s="5"/>
      <c r="F105" s="5"/>
      <c r="G105" s="5"/>
      <c r="H105" s="5"/>
      <c r="I105" s="5"/>
    </row>
    <row r="106">
      <c r="D106" s="5"/>
      <c r="E106" s="5"/>
      <c r="F106" s="5"/>
      <c r="G106" s="5"/>
      <c r="H106" s="5"/>
      <c r="I106" s="5"/>
    </row>
    <row r="107">
      <c r="D107" s="5"/>
      <c r="E107" s="5"/>
      <c r="F107" s="5"/>
      <c r="G107" s="5"/>
      <c r="H107" s="5"/>
      <c r="I107" s="5"/>
    </row>
    <row r="108">
      <c r="D108" s="5"/>
      <c r="E108" s="5"/>
      <c r="F108" s="5"/>
      <c r="G108" s="5"/>
      <c r="H108" s="5"/>
      <c r="I108" s="5"/>
    </row>
    <row r="109">
      <c r="D109" s="5"/>
      <c r="E109" s="5"/>
      <c r="F109" s="5"/>
      <c r="G109" s="5"/>
      <c r="H109" s="5"/>
      <c r="I109" s="5"/>
    </row>
    <row r="110">
      <c r="D110" s="5"/>
      <c r="E110" s="5"/>
      <c r="F110" s="5"/>
      <c r="G110" s="5"/>
      <c r="H110" s="5"/>
      <c r="I110" s="5"/>
    </row>
    <row r="111">
      <c r="D111" s="5"/>
      <c r="E111" s="5"/>
      <c r="F111" s="5"/>
      <c r="G111" s="5"/>
      <c r="H111" s="5"/>
      <c r="I111" s="5"/>
    </row>
    <row r="112">
      <c r="D112" s="5"/>
      <c r="E112" s="5"/>
      <c r="F112" s="5"/>
      <c r="G112" s="5"/>
      <c r="H112" s="5"/>
      <c r="I112" s="5"/>
    </row>
    <row r="113">
      <c r="D113" s="5"/>
      <c r="E113" s="5"/>
      <c r="F113" s="5"/>
      <c r="G113" s="5"/>
      <c r="H113" s="5"/>
      <c r="I113" s="5"/>
    </row>
    <row r="114">
      <c r="D114" s="5"/>
      <c r="E114" s="5"/>
      <c r="F114" s="5"/>
      <c r="G114" s="5"/>
      <c r="H114" s="5"/>
      <c r="I114" s="5"/>
    </row>
    <row r="115">
      <c r="D115" s="5"/>
      <c r="E115" s="5"/>
      <c r="F115" s="5"/>
      <c r="G115" s="5"/>
      <c r="H115" s="5"/>
      <c r="I115" s="5"/>
    </row>
    <row r="116">
      <c r="D116" s="5"/>
      <c r="E116" s="5"/>
      <c r="F116" s="5"/>
      <c r="G116" s="5"/>
      <c r="H116" s="5"/>
      <c r="I116" s="5"/>
    </row>
    <row r="117">
      <c r="D117" s="5"/>
      <c r="E117" s="5"/>
      <c r="F117" s="5"/>
      <c r="G117" s="5"/>
      <c r="H117" s="5"/>
      <c r="I117" s="5"/>
    </row>
    <row r="118">
      <c r="D118" s="5"/>
      <c r="E118" s="5"/>
      <c r="F118" s="5"/>
      <c r="G118" s="5"/>
      <c r="H118" s="5"/>
      <c r="I118" s="5"/>
    </row>
    <row r="119">
      <c r="D119" s="5"/>
      <c r="E119" s="5"/>
      <c r="F119" s="5"/>
      <c r="G119" s="5"/>
      <c r="H119" s="5"/>
      <c r="I119" s="5"/>
    </row>
    <row r="120">
      <c r="D120" s="5"/>
      <c r="E120" s="5"/>
      <c r="F120" s="5"/>
      <c r="G120" s="5"/>
      <c r="H120" s="5"/>
      <c r="I120" s="5"/>
    </row>
    <row r="121">
      <c r="D121" s="5"/>
      <c r="E121" s="5"/>
      <c r="F121" s="5"/>
      <c r="G121" s="5"/>
      <c r="H121" s="5"/>
      <c r="I121" s="5"/>
      <c r="J121" s="6"/>
      <c r="K121" s="6"/>
      <c r="L121" s="6"/>
      <c r="M121" s="6"/>
    </row>
    <row r="122">
      <c r="D122" s="5"/>
      <c r="E122" s="5"/>
      <c r="F122" s="5"/>
      <c r="G122" s="5"/>
      <c r="H122" s="5"/>
      <c r="I122" s="5"/>
      <c r="J122" s="6"/>
      <c r="K122" s="6"/>
      <c r="L122" s="6"/>
      <c r="M122" s="6"/>
    </row>
    <row r="123">
      <c r="D123" s="5"/>
      <c r="E123" s="5"/>
      <c r="F123" s="5"/>
      <c r="G123" s="5"/>
      <c r="H123" s="5"/>
      <c r="I123" s="5"/>
      <c r="J123" s="6"/>
      <c r="K123" s="6"/>
      <c r="L123" s="6"/>
      <c r="M123" s="6"/>
    </row>
    <row r="124">
      <c r="D124" s="5"/>
      <c r="E124" s="5"/>
      <c r="F124" s="5"/>
      <c r="G124" s="5"/>
      <c r="H124" s="5"/>
      <c r="I124" s="5"/>
      <c r="J124" s="6"/>
      <c r="K124" s="6"/>
      <c r="L124" s="6"/>
      <c r="M124" s="6"/>
    </row>
    <row r="125">
      <c r="D125" s="5"/>
      <c r="E125" s="5"/>
      <c r="F125" s="5"/>
      <c r="G125" s="5"/>
      <c r="H125" s="5"/>
      <c r="I125" s="5"/>
      <c r="J125" s="6"/>
      <c r="K125" s="6"/>
      <c r="L125" s="6"/>
      <c r="M125" s="6"/>
    </row>
    <row r="126">
      <c r="D126" s="5"/>
      <c r="E126" s="5"/>
      <c r="F126" s="5"/>
      <c r="G126" s="5"/>
      <c r="H126" s="5"/>
      <c r="I126" s="5"/>
      <c r="J126" s="6"/>
      <c r="K126" s="6"/>
      <c r="L126" s="6"/>
      <c r="M126" s="6"/>
    </row>
    <row r="127">
      <c r="D127" s="5"/>
      <c r="E127" s="5"/>
      <c r="F127" s="5"/>
      <c r="G127" s="5"/>
      <c r="H127" s="5"/>
      <c r="I127" s="5"/>
      <c r="J127" s="6"/>
      <c r="K127" s="6"/>
      <c r="L127" s="6"/>
      <c r="M127" s="6"/>
    </row>
    <row r="128">
      <c r="D128" s="5"/>
      <c r="E128" s="5"/>
      <c r="F128" s="5"/>
      <c r="G128" s="5"/>
      <c r="H128" s="5"/>
      <c r="I128" s="5"/>
      <c r="J128" s="6"/>
      <c r="K128" s="6"/>
      <c r="L128" s="6"/>
      <c r="M128" s="6"/>
    </row>
    <row r="129">
      <c r="D129" s="5"/>
      <c r="E129" s="5"/>
      <c r="F129" s="5"/>
      <c r="G129" s="5"/>
      <c r="H129" s="5"/>
      <c r="I129" s="5"/>
      <c r="J129" s="6"/>
      <c r="K129" s="6"/>
      <c r="L129" s="6"/>
      <c r="M129" s="6"/>
    </row>
    <row r="130">
      <c r="D130" s="5"/>
      <c r="E130" s="5"/>
      <c r="F130" s="5"/>
      <c r="G130" s="5"/>
      <c r="H130" s="5"/>
      <c r="I130" s="5"/>
      <c r="J130" s="6"/>
      <c r="K130" s="6"/>
      <c r="L130" s="6"/>
      <c r="M130" s="6"/>
    </row>
    <row r="131">
      <c r="D131" s="5"/>
      <c r="E131" s="5"/>
      <c r="F131" s="5"/>
      <c r="G131" s="5"/>
      <c r="H131" s="5"/>
      <c r="I131" s="5"/>
      <c r="J131" s="6"/>
      <c r="K131" s="6"/>
      <c r="L131" s="6"/>
      <c r="M131" s="6"/>
    </row>
    <row r="132">
      <c r="D132" s="5"/>
      <c r="E132" s="5"/>
      <c r="F132" s="5"/>
      <c r="G132" s="5"/>
      <c r="H132" s="5"/>
      <c r="I132" s="5"/>
      <c r="J132" s="6"/>
      <c r="K132" s="6"/>
      <c r="L132" s="6"/>
      <c r="M132" s="6"/>
    </row>
    <row r="133">
      <c r="D133" s="5"/>
      <c r="E133" s="5"/>
      <c r="F133" s="5"/>
      <c r="G133" s="5"/>
      <c r="H133" s="5"/>
      <c r="I133" s="5"/>
      <c r="J133" s="6"/>
      <c r="K133" s="6"/>
      <c r="L133" s="6"/>
      <c r="M133" s="6"/>
    </row>
    <row r="134">
      <c r="D134" s="5"/>
      <c r="E134" s="5"/>
      <c r="F134" s="5"/>
      <c r="G134" s="5"/>
      <c r="H134" s="5"/>
      <c r="I134" s="5"/>
      <c r="J134" s="6"/>
      <c r="K134" s="6"/>
      <c r="L134" s="6"/>
      <c r="M134" s="6"/>
    </row>
    <row r="135">
      <c r="D135" s="5"/>
      <c r="E135" s="5"/>
      <c r="F135" s="5"/>
      <c r="G135" s="5"/>
      <c r="H135" s="5"/>
      <c r="I135" s="5"/>
      <c r="J135" s="6"/>
      <c r="K135" s="6"/>
      <c r="L135" s="6"/>
      <c r="M135" s="6"/>
    </row>
    <row r="136">
      <c r="D136" s="5"/>
      <c r="E136" s="5"/>
      <c r="F136" s="5"/>
      <c r="G136" s="5"/>
      <c r="H136" s="5"/>
      <c r="I136" s="5"/>
      <c r="J136" s="6"/>
      <c r="K136" s="6"/>
      <c r="L136" s="6"/>
      <c r="M136" s="6"/>
    </row>
    <row r="137">
      <c r="D137" s="5"/>
      <c r="E137" s="5"/>
      <c r="F137" s="5"/>
      <c r="G137" s="5"/>
      <c r="H137" s="5"/>
      <c r="I137" s="5"/>
      <c r="J137" s="6"/>
      <c r="K137" s="6"/>
      <c r="L137" s="6"/>
      <c r="M137" s="6"/>
    </row>
    <row r="138">
      <c r="D138" s="5"/>
      <c r="E138" s="5"/>
      <c r="F138" s="5"/>
      <c r="G138" s="5"/>
      <c r="H138" s="5"/>
      <c r="I138" s="5"/>
      <c r="J138" s="6"/>
      <c r="K138" s="6"/>
      <c r="L138" s="6"/>
      <c r="M138" s="6"/>
    </row>
    <row r="139">
      <c r="D139" s="5"/>
      <c r="E139" s="5"/>
      <c r="F139" s="5"/>
      <c r="G139" s="5"/>
      <c r="H139" s="5"/>
      <c r="I139" s="5"/>
      <c r="J139" s="6"/>
      <c r="K139" s="6"/>
      <c r="L139" s="6"/>
      <c r="M139" s="6"/>
    </row>
    <row r="140">
      <c r="D140" s="5"/>
      <c r="E140" s="5"/>
      <c r="F140" s="5"/>
      <c r="G140" s="5"/>
      <c r="H140" s="5"/>
      <c r="I140" s="5"/>
      <c r="J140" s="6"/>
      <c r="K140" s="6"/>
      <c r="L140" s="6"/>
      <c r="M140" s="6"/>
    </row>
    <row r="141">
      <c r="D141" s="5"/>
      <c r="E141" s="5"/>
      <c r="F141" s="5"/>
      <c r="G141" s="5"/>
      <c r="H141" s="5"/>
      <c r="I141" s="5"/>
      <c r="J141" s="6"/>
      <c r="K141" s="6"/>
      <c r="L141" s="6"/>
      <c r="M141" s="6"/>
    </row>
    <row r="142">
      <c r="D142" s="5"/>
      <c r="E142" s="5"/>
      <c r="F142" s="5"/>
      <c r="G142" s="5"/>
      <c r="H142" s="5"/>
      <c r="I142" s="5"/>
      <c r="J142" s="6"/>
      <c r="K142" s="6"/>
      <c r="L142" s="6"/>
      <c r="M142" s="6"/>
    </row>
    <row r="143">
      <c r="D143" s="5"/>
      <c r="E143" s="5"/>
      <c r="F143" s="5"/>
      <c r="G143" s="5"/>
      <c r="H143" s="5"/>
      <c r="I143" s="5"/>
      <c r="J143" s="6"/>
      <c r="K143" s="6"/>
      <c r="L143" s="6"/>
      <c r="M143" s="6"/>
    </row>
    <row r="144">
      <c r="D144" s="5"/>
      <c r="E144" s="5"/>
      <c r="F144" s="5"/>
      <c r="G144" s="5"/>
      <c r="H144" s="5"/>
      <c r="I144" s="5"/>
      <c r="J144" s="6"/>
      <c r="K144" s="6"/>
      <c r="L144" s="6"/>
      <c r="M144" s="6"/>
    </row>
    <row r="145">
      <c r="D145" s="5"/>
      <c r="E145" s="5"/>
      <c r="F145" s="5"/>
      <c r="G145" s="5"/>
      <c r="H145" s="5"/>
      <c r="I145" s="5"/>
      <c r="J145" s="6"/>
      <c r="K145" s="6"/>
      <c r="L145" s="6"/>
      <c r="M145" s="6"/>
    </row>
    <row r="146">
      <c r="D146" s="5"/>
      <c r="E146" s="5"/>
      <c r="F146" s="5"/>
      <c r="G146" s="5"/>
      <c r="H146" s="5"/>
      <c r="I146" s="5"/>
      <c r="J146" s="6"/>
      <c r="K146" s="6"/>
      <c r="L146" s="6"/>
      <c r="M146" s="6"/>
    </row>
    <row r="147">
      <c r="D147" s="5"/>
      <c r="E147" s="5"/>
      <c r="F147" s="5"/>
      <c r="G147" s="5"/>
      <c r="H147" s="5"/>
      <c r="I147" s="5"/>
      <c r="J147" s="6"/>
      <c r="K147" s="6"/>
      <c r="L147" s="6"/>
      <c r="M147" s="6"/>
    </row>
    <row r="148">
      <c r="D148" s="5"/>
      <c r="E148" s="5"/>
      <c r="F148" s="5"/>
      <c r="G148" s="5"/>
      <c r="H148" s="5"/>
      <c r="I148" s="5"/>
      <c r="J148" s="6"/>
      <c r="K148" s="6"/>
      <c r="L148" s="6"/>
      <c r="M148" s="6"/>
    </row>
    <row r="149">
      <c r="D149" s="5"/>
      <c r="E149" s="5"/>
      <c r="F149" s="5"/>
      <c r="G149" s="5"/>
      <c r="H149" s="5"/>
      <c r="I149" s="5"/>
      <c r="J149" s="6"/>
      <c r="K149" s="6"/>
      <c r="L149" s="6"/>
      <c r="M149" s="6"/>
    </row>
    <row r="150">
      <c r="D150" s="5"/>
      <c r="E150" s="5"/>
      <c r="F150" s="5"/>
      <c r="G150" s="5"/>
      <c r="H150" s="5"/>
      <c r="I150" s="5"/>
      <c r="J150" s="6"/>
      <c r="K150" s="6"/>
      <c r="L150" s="6"/>
      <c r="M150" s="6"/>
    </row>
    <row r="151">
      <c r="D151" s="5"/>
      <c r="E151" s="5"/>
      <c r="F151" s="5"/>
      <c r="G151" s="5"/>
      <c r="H151" s="5"/>
      <c r="I151" s="5"/>
      <c r="J151" s="6"/>
      <c r="K151" s="6"/>
      <c r="L151" s="6"/>
      <c r="M151" s="6"/>
    </row>
    <row r="152">
      <c r="D152" s="5"/>
      <c r="E152" s="5"/>
      <c r="F152" s="5"/>
      <c r="G152" s="5"/>
      <c r="H152" s="5"/>
      <c r="I152" s="5"/>
      <c r="J152" s="6"/>
      <c r="K152" s="6"/>
      <c r="L152" s="6"/>
      <c r="M152" s="6"/>
    </row>
    <row r="153">
      <c r="D153" s="5"/>
      <c r="E153" s="5"/>
      <c r="F153" s="5"/>
      <c r="G153" s="5"/>
      <c r="H153" s="5"/>
      <c r="I153" s="5"/>
      <c r="J153" s="6"/>
      <c r="K153" s="6"/>
      <c r="L153" s="6"/>
      <c r="M153" s="6"/>
    </row>
    <row r="154">
      <c r="D154" s="5"/>
      <c r="E154" s="5"/>
      <c r="F154" s="5"/>
      <c r="G154" s="5"/>
      <c r="H154" s="5"/>
      <c r="I154" s="5"/>
      <c r="J154" s="6"/>
      <c r="K154" s="6"/>
      <c r="L154" s="6"/>
      <c r="M154" s="6"/>
    </row>
    <row r="155">
      <c r="D155" s="5"/>
      <c r="E155" s="5"/>
      <c r="F155" s="5"/>
      <c r="G155" s="5"/>
      <c r="H155" s="5"/>
      <c r="I155" s="5"/>
      <c r="J155" s="6"/>
      <c r="K155" s="6"/>
      <c r="L155" s="6"/>
      <c r="M155" s="6"/>
    </row>
    <row r="156">
      <c r="D156" s="5"/>
      <c r="E156" s="5"/>
      <c r="F156" s="5"/>
      <c r="G156" s="5"/>
      <c r="H156" s="5"/>
      <c r="I156" s="5"/>
      <c r="J156" s="6"/>
      <c r="K156" s="6"/>
      <c r="L156" s="6"/>
      <c r="M156" s="6"/>
    </row>
    <row r="157">
      <c r="D157" s="5"/>
      <c r="E157" s="5"/>
      <c r="F157" s="5"/>
      <c r="G157" s="5"/>
      <c r="H157" s="5"/>
      <c r="I157" s="5"/>
      <c r="J157" s="6"/>
      <c r="K157" s="6"/>
      <c r="L157" s="6"/>
      <c r="M157" s="6"/>
    </row>
    <row r="158">
      <c r="D158" s="5"/>
      <c r="E158" s="5"/>
      <c r="F158" s="5"/>
      <c r="G158" s="5"/>
      <c r="H158" s="5"/>
      <c r="I158" s="5"/>
      <c r="J158" s="6"/>
      <c r="K158" s="6"/>
      <c r="L158" s="6"/>
      <c r="M158" s="6"/>
    </row>
    <row r="159">
      <c r="D159" s="5"/>
      <c r="E159" s="5"/>
      <c r="F159" s="5"/>
      <c r="G159" s="5"/>
      <c r="H159" s="5"/>
      <c r="I159" s="5"/>
      <c r="J159" s="6"/>
      <c r="K159" s="6"/>
      <c r="L159" s="6"/>
      <c r="M159" s="6"/>
    </row>
    <row r="160">
      <c r="D160" s="5"/>
      <c r="E160" s="5"/>
      <c r="F160" s="5"/>
      <c r="G160" s="5"/>
      <c r="H160" s="5"/>
      <c r="I160" s="5"/>
      <c r="J160" s="6"/>
      <c r="K160" s="6"/>
      <c r="L160" s="6"/>
      <c r="M160" s="6"/>
    </row>
    <row r="161">
      <c r="D161" s="5"/>
      <c r="E161" s="5"/>
      <c r="F161" s="5"/>
      <c r="G161" s="5"/>
      <c r="H161" s="5"/>
      <c r="I161" s="5"/>
      <c r="J161" s="6"/>
      <c r="K161" s="6"/>
      <c r="L161" s="6"/>
      <c r="M161" s="6"/>
    </row>
    <row r="162">
      <c r="D162" s="5"/>
      <c r="E162" s="5"/>
      <c r="F162" s="5"/>
      <c r="G162" s="5"/>
      <c r="H162" s="5"/>
      <c r="I162" s="5"/>
      <c r="J162" s="6"/>
      <c r="K162" s="6"/>
      <c r="L162" s="6"/>
      <c r="M162" s="6"/>
    </row>
    <row r="163">
      <c r="D163" s="5"/>
      <c r="E163" s="5"/>
      <c r="F163" s="5"/>
      <c r="G163" s="5"/>
      <c r="H163" s="5"/>
      <c r="I163" s="5"/>
      <c r="J163" s="6"/>
      <c r="K163" s="6"/>
      <c r="L163" s="6"/>
      <c r="M163" s="6"/>
    </row>
    <row r="164">
      <c r="D164" s="5"/>
      <c r="E164" s="5"/>
      <c r="F164" s="5"/>
      <c r="G164" s="5"/>
      <c r="H164" s="5"/>
      <c r="I164" s="5"/>
      <c r="J164" s="6"/>
      <c r="K164" s="6"/>
      <c r="L164" s="6"/>
      <c r="M164" s="6"/>
    </row>
    <row r="165">
      <c r="D165" s="5"/>
      <c r="E165" s="5"/>
      <c r="F165" s="5"/>
      <c r="G165" s="5"/>
      <c r="H165" s="5"/>
      <c r="I165" s="5"/>
      <c r="J165" s="6"/>
      <c r="K165" s="6"/>
      <c r="L165" s="6"/>
      <c r="M165" s="6"/>
    </row>
    <row r="166">
      <c r="D166" s="5"/>
      <c r="E166" s="5"/>
      <c r="F166" s="5"/>
      <c r="G166" s="5"/>
      <c r="H166" s="5"/>
      <c r="I166" s="5"/>
      <c r="J166" s="6"/>
      <c r="K166" s="6"/>
      <c r="L166" s="6"/>
      <c r="M166" s="6"/>
    </row>
    <row r="167">
      <c r="D167" s="5"/>
      <c r="E167" s="5"/>
      <c r="F167" s="5"/>
      <c r="G167" s="5"/>
      <c r="H167" s="5"/>
      <c r="I167" s="5"/>
      <c r="J167" s="6"/>
      <c r="K167" s="6"/>
      <c r="L167" s="6"/>
      <c r="M167" s="6"/>
    </row>
    <row r="168">
      <c r="D168" s="5"/>
      <c r="E168" s="5"/>
      <c r="F168" s="5"/>
      <c r="G168" s="5"/>
      <c r="H168" s="5"/>
      <c r="I168" s="5"/>
      <c r="J168" s="6"/>
      <c r="K168" s="6"/>
      <c r="L168" s="6"/>
      <c r="M168" s="6"/>
    </row>
    <row r="169">
      <c r="D169" s="5"/>
      <c r="E169" s="5"/>
      <c r="F169" s="5"/>
      <c r="G169" s="5"/>
      <c r="H169" s="5"/>
      <c r="I169" s="5"/>
      <c r="J169" s="6"/>
      <c r="K169" s="6"/>
      <c r="L169" s="6"/>
      <c r="M169" s="6"/>
    </row>
    <row r="170">
      <c r="D170" s="5"/>
      <c r="E170" s="5"/>
      <c r="F170" s="5"/>
      <c r="G170" s="5"/>
      <c r="H170" s="5"/>
      <c r="I170" s="5"/>
      <c r="J170" s="6"/>
      <c r="K170" s="6"/>
      <c r="L170" s="6"/>
      <c r="M170" s="6"/>
    </row>
    <row r="171">
      <c r="D171" s="5"/>
      <c r="E171" s="5"/>
      <c r="F171" s="5"/>
      <c r="G171" s="5"/>
      <c r="H171" s="5"/>
      <c r="I171" s="5"/>
      <c r="J171" s="6"/>
      <c r="K171" s="6"/>
      <c r="L171" s="6"/>
      <c r="M171" s="6"/>
    </row>
    <row r="172">
      <c r="D172" s="5"/>
      <c r="E172" s="5"/>
      <c r="F172" s="5"/>
      <c r="G172" s="5"/>
      <c r="H172" s="5"/>
      <c r="I172" s="5"/>
      <c r="J172" s="6"/>
      <c r="K172" s="6"/>
      <c r="L172" s="6"/>
      <c r="M172" s="6"/>
    </row>
    <row r="173">
      <c r="D173" s="5"/>
      <c r="E173" s="5"/>
      <c r="F173" s="5"/>
      <c r="G173" s="5"/>
      <c r="H173" s="5"/>
      <c r="I173" s="5"/>
      <c r="J173" s="6"/>
      <c r="K173" s="6"/>
      <c r="L173" s="6"/>
      <c r="M173" s="6"/>
    </row>
    <row r="174">
      <c r="D174" s="5"/>
      <c r="E174" s="5"/>
      <c r="F174" s="5"/>
      <c r="G174" s="5"/>
      <c r="H174" s="5"/>
      <c r="I174" s="5"/>
      <c r="J174" s="6"/>
      <c r="K174" s="6"/>
      <c r="L174" s="6"/>
      <c r="M174" s="6"/>
    </row>
    <row r="175">
      <c r="D175" s="5"/>
      <c r="E175" s="5"/>
      <c r="F175" s="5"/>
      <c r="G175" s="5"/>
      <c r="H175" s="5"/>
      <c r="I175" s="5"/>
      <c r="J175" s="6"/>
      <c r="K175" s="6"/>
      <c r="L175" s="6"/>
      <c r="M175" s="6"/>
    </row>
    <row r="176">
      <c r="D176" s="5"/>
      <c r="E176" s="5"/>
      <c r="F176" s="5"/>
      <c r="G176" s="5"/>
      <c r="H176" s="5"/>
      <c r="I176" s="5"/>
      <c r="J176" s="6"/>
      <c r="K176" s="6"/>
      <c r="L176" s="6"/>
      <c r="M176" s="6"/>
    </row>
    <row r="177">
      <c r="D177" s="5"/>
      <c r="E177" s="5"/>
      <c r="F177" s="5"/>
      <c r="G177" s="5"/>
      <c r="H177" s="5"/>
      <c r="I177" s="5"/>
      <c r="J177" s="6"/>
      <c r="K177" s="6"/>
      <c r="L177" s="6"/>
      <c r="M177" s="6"/>
    </row>
    <row r="178">
      <c r="D178" s="5"/>
      <c r="E178" s="5"/>
      <c r="F178" s="5"/>
      <c r="G178" s="5"/>
      <c r="H178" s="5"/>
      <c r="I178" s="5"/>
      <c r="J178" s="6"/>
      <c r="K178" s="6"/>
      <c r="L178" s="6"/>
      <c r="M178" s="6"/>
    </row>
    <row r="179">
      <c r="D179" s="5"/>
      <c r="E179" s="5"/>
      <c r="F179" s="5"/>
      <c r="G179" s="5"/>
      <c r="H179" s="5"/>
      <c r="I179" s="5"/>
      <c r="J179" s="6"/>
      <c r="K179" s="6"/>
      <c r="L179" s="6"/>
      <c r="M179" s="6"/>
    </row>
    <row r="180">
      <c r="D180" s="5"/>
      <c r="E180" s="5"/>
      <c r="F180" s="5"/>
      <c r="G180" s="5"/>
      <c r="H180" s="5"/>
      <c r="I180" s="5"/>
      <c r="J180" s="6"/>
      <c r="K180" s="6"/>
      <c r="L180" s="6"/>
      <c r="M180" s="6"/>
    </row>
    <row r="181">
      <c r="D181" s="5"/>
      <c r="E181" s="5"/>
      <c r="F181" s="5"/>
      <c r="G181" s="5"/>
      <c r="H181" s="5"/>
      <c r="I181" s="5"/>
      <c r="J181" s="6"/>
      <c r="K181" s="6"/>
      <c r="L181" s="6"/>
      <c r="M181" s="6"/>
    </row>
    <row r="182">
      <c r="D182" s="5"/>
      <c r="E182" s="5"/>
      <c r="F182" s="5"/>
      <c r="G182" s="5"/>
      <c r="H182" s="5"/>
      <c r="I182" s="5"/>
      <c r="J182" s="6"/>
      <c r="K182" s="6"/>
      <c r="L182" s="6"/>
      <c r="M182" s="6"/>
    </row>
    <row r="183">
      <c r="D183" s="5"/>
      <c r="E183" s="5"/>
      <c r="F183" s="5"/>
      <c r="G183" s="5"/>
      <c r="H183" s="5"/>
      <c r="I183" s="5"/>
      <c r="J183" s="6"/>
      <c r="K183" s="6"/>
      <c r="L183" s="6"/>
      <c r="M183" s="6"/>
    </row>
    <row r="184">
      <c r="D184" s="5"/>
      <c r="E184" s="5"/>
      <c r="F184" s="5"/>
      <c r="G184" s="5"/>
      <c r="H184" s="5"/>
      <c r="I184" s="5"/>
      <c r="J184" s="6"/>
      <c r="K184" s="6"/>
      <c r="L184" s="6"/>
      <c r="M184" s="6"/>
    </row>
    <row r="185">
      <c r="D185" s="5"/>
      <c r="E185" s="5"/>
      <c r="F185" s="5"/>
      <c r="G185" s="5"/>
      <c r="H185" s="5"/>
      <c r="I185" s="5"/>
      <c r="J185" s="6"/>
      <c r="K185" s="6"/>
      <c r="L185" s="6"/>
      <c r="M185" s="6"/>
    </row>
    <row r="186">
      <c r="D186" s="5"/>
      <c r="E186" s="5"/>
      <c r="F186" s="5"/>
      <c r="G186" s="5"/>
      <c r="H186" s="5"/>
      <c r="I186" s="5"/>
      <c r="J186" s="6"/>
      <c r="K186" s="6"/>
      <c r="L186" s="6"/>
      <c r="M186" s="6"/>
    </row>
    <row r="187">
      <c r="D187" s="5"/>
      <c r="E187" s="5"/>
      <c r="F187" s="5"/>
      <c r="G187" s="5"/>
      <c r="H187" s="5"/>
      <c r="I187" s="5"/>
      <c r="J187" s="6"/>
      <c r="K187" s="6"/>
      <c r="L187" s="6"/>
      <c r="M187" s="6"/>
    </row>
    <row r="188">
      <c r="D188" s="5"/>
      <c r="E188" s="5"/>
      <c r="F188" s="5"/>
      <c r="G188" s="5"/>
      <c r="H188" s="5"/>
      <c r="I188" s="5"/>
      <c r="J188" s="6"/>
      <c r="K188" s="6"/>
      <c r="L188" s="6"/>
      <c r="M188" s="6"/>
    </row>
    <row r="189">
      <c r="D189" s="5"/>
      <c r="E189" s="5"/>
      <c r="F189" s="5"/>
      <c r="G189" s="5"/>
      <c r="H189" s="5"/>
      <c r="I189" s="5"/>
      <c r="J189" s="6"/>
      <c r="K189" s="6"/>
      <c r="L189" s="6"/>
      <c r="M189" s="6"/>
    </row>
    <row r="190">
      <c r="D190" s="5"/>
      <c r="E190" s="5"/>
      <c r="F190" s="5"/>
      <c r="G190" s="5"/>
      <c r="H190" s="5"/>
      <c r="I190" s="5"/>
      <c r="J190" s="6"/>
      <c r="K190" s="6"/>
      <c r="L190" s="6"/>
      <c r="M190" s="6"/>
    </row>
    <row r="191">
      <c r="D191" s="5"/>
      <c r="E191" s="5"/>
      <c r="F191" s="5"/>
      <c r="G191" s="5"/>
      <c r="H191" s="5"/>
      <c r="I191" s="5"/>
      <c r="J191" s="6"/>
      <c r="K191" s="6"/>
      <c r="L191" s="6"/>
      <c r="M191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7.29"/>
    <col customWidth="1" min="2" max="2" width="23.71"/>
    <col customWidth="1" min="3" max="3" width="17.29"/>
    <col customWidth="1" min="4" max="7" width="7.14"/>
    <col customWidth="1" min="8" max="8" width="56.43"/>
    <col customWidth="1" min="9" max="19" width="17.29"/>
  </cols>
  <sheetData>
    <row r="1">
      <c r="A1" s="1" t="s">
        <v>0</v>
      </c>
      <c r="B1" s="1" t="s">
        <v>2</v>
      </c>
      <c r="C1" s="1" t="s">
        <v>15</v>
      </c>
      <c r="D1" s="3" t="s">
        <v>5</v>
      </c>
      <c r="E1" s="3" t="s">
        <v>6</v>
      </c>
      <c r="F1" s="3" t="s">
        <v>7</v>
      </c>
      <c r="G1" s="3" t="s">
        <v>8</v>
      </c>
      <c r="H1" s="1" t="s">
        <v>13</v>
      </c>
    </row>
    <row r="2">
      <c r="A2" s="7">
        <v>40978.0</v>
      </c>
      <c r="B2" s="8" t="str">
        <f>HYPERLINK("http://thescamdog.wordpress.com/2012/03/08/amazing-watermelons-3-acts/","Amazing Watermelons")</f>
        <v>Amazing Watermelons</v>
      </c>
      <c r="C2" s="1" t="s">
        <v>16</v>
      </c>
      <c r="D2" s="3" t="s">
        <v>17</v>
      </c>
      <c r="E2" s="3" t="s">
        <v>17</v>
      </c>
      <c r="F2" s="3" t="s">
        <v>17</v>
      </c>
      <c r="G2" s="3" t="s">
        <v>17</v>
      </c>
      <c r="H2" s="1" t="s">
        <v>18</v>
      </c>
    </row>
    <row r="3">
      <c r="A3" s="7">
        <v>41014.0</v>
      </c>
      <c r="B3" s="8" t="str">
        <f>HYPERLINK("http://mr-stadel.blogspot.com/2012/04/rolling-tires.html","Rolling Tires")</f>
        <v>Rolling Tires</v>
      </c>
      <c r="C3" s="1" t="s">
        <v>19</v>
      </c>
      <c r="D3" s="3" t="s">
        <v>17</v>
      </c>
      <c r="E3" s="3" t="s">
        <v>17</v>
      </c>
      <c r="F3" s="3" t="s">
        <v>17</v>
      </c>
      <c r="G3" s="5"/>
      <c r="H3" s="1" t="s">
        <v>20</v>
      </c>
    </row>
    <row r="4">
      <c r="A4" s="7">
        <v>41182.0</v>
      </c>
      <c r="B4" s="8" t="str">
        <f>HYPERLINK("http://www.yummymath.com/2012/penny-wars/","Penny Wars")</f>
        <v>Penny Wars</v>
      </c>
      <c r="C4" s="1" t="s">
        <v>21</v>
      </c>
      <c r="D4" s="3" t="s">
        <v>17</v>
      </c>
      <c r="E4" s="5"/>
      <c r="F4" s="3" t="s">
        <v>17</v>
      </c>
      <c r="G4" s="3" t="s">
        <v>17</v>
      </c>
      <c r="H4" s="1" t="s">
        <v>22</v>
      </c>
    </row>
    <row r="5">
      <c r="A5" s="7">
        <v>41182.0</v>
      </c>
      <c r="B5" s="8" t="str">
        <f>HYPERLINK("http://www.yummymath.com/2012/canstruction/","Canstruction")</f>
        <v>Canstruction</v>
      </c>
      <c r="C5" s="1" t="s">
        <v>21</v>
      </c>
      <c r="D5" s="3" t="s">
        <v>17</v>
      </c>
      <c r="E5" s="3" t="s">
        <v>17</v>
      </c>
      <c r="F5" s="3" t="s">
        <v>17</v>
      </c>
      <c r="G5" s="3" t="s">
        <v>17</v>
      </c>
      <c r="H5" s="1" t="s">
        <v>23</v>
      </c>
    </row>
    <row r="6">
      <c r="A6" s="7">
        <v>41208.0</v>
      </c>
      <c r="B6" s="8" t="str">
        <f>HYPERLINK("http://www.yummymath.com/2012/stacking-jack/","Stacking Jacks")</f>
        <v>Stacking Jacks</v>
      </c>
      <c r="C6" s="1" t="s">
        <v>21</v>
      </c>
      <c r="D6" s="3" t="s">
        <v>17</v>
      </c>
      <c r="E6" s="3" t="s">
        <v>17</v>
      </c>
      <c r="F6" s="3" t="s">
        <v>17</v>
      </c>
      <c r="G6" s="3" t="s">
        <v>17</v>
      </c>
      <c r="H6" s="1" t="s">
        <v>24</v>
      </c>
    </row>
    <row r="7">
      <c r="D7" s="5"/>
      <c r="E7" s="5"/>
      <c r="F7" s="5"/>
      <c r="G7" s="5"/>
    </row>
    <row r="8">
      <c r="D8" s="5"/>
      <c r="E8" s="5"/>
      <c r="F8" s="5"/>
      <c r="G8" s="5"/>
    </row>
    <row r="9">
      <c r="D9" s="5"/>
      <c r="E9" s="5"/>
      <c r="F9" s="5"/>
      <c r="G9" s="5"/>
    </row>
    <row r="10">
      <c r="D10" s="5"/>
      <c r="E10" s="5"/>
      <c r="F10" s="5"/>
      <c r="G10" s="5"/>
    </row>
    <row r="11">
      <c r="D11" s="5"/>
      <c r="E11" s="5"/>
      <c r="F11" s="5"/>
      <c r="G11" s="5"/>
    </row>
    <row r="12">
      <c r="D12" s="5"/>
      <c r="E12" s="5"/>
      <c r="F12" s="5"/>
      <c r="G12" s="5"/>
    </row>
    <row r="13">
      <c r="D13" s="5"/>
      <c r="E13" s="5"/>
      <c r="F13" s="5"/>
      <c r="G13" s="5"/>
    </row>
    <row r="14">
      <c r="D14" s="5"/>
      <c r="E14" s="5"/>
      <c r="F14" s="5"/>
      <c r="G14" s="5"/>
    </row>
    <row r="15">
      <c r="D15" s="5"/>
      <c r="E15" s="5"/>
      <c r="F15" s="5"/>
      <c r="G15" s="5"/>
    </row>
    <row r="16">
      <c r="D16" s="5"/>
      <c r="E16" s="5"/>
      <c r="F16" s="5"/>
      <c r="G16" s="5"/>
    </row>
    <row r="17">
      <c r="D17" s="5"/>
      <c r="E17" s="5"/>
      <c r="F17" s="5"/>
      <c r="G17" s="5"/>
    </row>
    <row r="18">
      <c r="D18" s="5"/>
      <c r="E18" s="5"/>
      <c r="F18" s="5"/>
      <c r="G18" s="5"/>
    </row>
    <row r="19">
      <c r="D19" s="5"/>
      <c r="E19" s="5"/>
      <c r="F19" s="5"/>
      <c r="G19" s="5"/>
    </row>
    <row r="20">
      <c r="D20" s="5"/>
      <c r="E20" s="5"/>
      <c r="F20" s="5"/>
      <c r="G20" s="5"/>
    </row>
    <row r="21">
      <c r="D21" s="5"/>
      <c r="E21" s="5"/>
      <c r="F21" s="5"/>
      <c r="G21" s="5"/>
    </row>
    <row r="22">
      <c r="D22" s="5"/>
      <c r="E22" s="5"/>
      <c r="F22" s="5"/>
      <c r="G22" s="5"/>
    </row>
    <row r="23">
      <c r="D23" s="5"/>
      <c r="E23" s="5"/>
      <c r="F23" s="5"/>
      <c r="G23" s="5"/>
    </row>
    <row r="24">
      <c r="D24" s="5"/>
      <c r="E24" s="5"/>
      <c r="F24" s="5"/>
      <c r="G24" s="5"/>
    </row>
    <row r="25">
      <c r="D25" s="5"/>
      <c r="E25" s="5"/>
      <c r="F25" s="5"/>
      <c r="G25" s="5"/>
    </row>
    <row r="26">
      <c r="D26" s="5"/>
      <c r="E26" s="5"/>
      <c r="F26" s="5"/>
      <c r="G26" s="5"/>
    </row>
    <row r="27">
      <c r="D27" s="5"/>
      <c r="E27" s="5"/>
      <c r="F27" s="5"/>
      <c r="G27" s="5"/>
    </row>
    <row r="28">
      <c r="D28" s="5"/>
      <c r="E28" s="5"/>
      <c r="F28" s="5"/>
      <c r="G28" s="5"/>
    </row>
    <row r="29">
      <c r="D29" s="5"/>
      <c r="E29" s="5"/>
      <c r="F29" s="5"/>
      <c r="G29" s="5"/>
    </row>
    <row r="30">
      <c r="D30" s="5"/>
      <c r="E30" s="5"/>
      <c r="F30" s="5"/>
      <c r="G30" s="5"/>
    </row>
    <row r="31">
      <c r="D31" s="5"/>
      <c r="E31" s="5"/>
      <c r="F31" s="5"/>
      <c r="G31" s="5"/>
    </row>
    <row r="32">
      <c r="D32" s="5"/>
      <c r="E32" s="5"/>
      <c r="F32" s="5"/>
      <c r="G32" s="5"/>
    </row>
    <row r="33">
      <c r="D33" s="5"/>
      <c r="E33" s="5"/>
      <c r="F33" s="5"/>
      <c r="G33" s="5"/>
    </row>
    <row r="34">
      <c r="D34" s="5"/>
      <c r="E34" s="5"/>
      <c r="F34" s="5"/>
      <c r="G34" s="5"/>
    </row>
    <row r="35">
      <c r="D35" s="5"/>
      <c r="E35" s="5"/>
      <c r="F35" s="5"/>
      <c r="G35" s="5"/>
    </row>
    <row r="36">
      <c r="D36" s="5"/>
      <c r="E36" s="5"/>
      <c r="F36" s="5"/>
      <c r="G36" s="5"/>
    </row>
    <row r="37">
      <c r="D37" s="5"/>
      <c r="E37" s="5"/>
      <c r="F37" s="5"/>
      <c r="G37" s="5"/>
    </row>
    <row r="38">
      <c r="D38" s="5"/>
      <c r="E38" s="5"/>
      <c r="F38" s="5"/>
      <c r="G38" s="5"/>
    </row>
    <row r="39">
      <c r="D39" s="5"/>
      <c r="E39" s="5"/>
      <c r="F39" s="5"/>
      <c r="G39" s="5"/>
    </row>
    <row r="40">
      <c r="D40" s="5"/>
      <c r="E40" s="5"/>
      <c r="F40" s="5"/>
      <c r="G40" s="5"/>
    </row>
    <row r="41">
      <c r="D41" s="5"/>
      <c r="E41" s="5"/>
      <c r="F41" s="5"/>
      <c r="G41" s="5"/>
    </row>
    <row r="42">
      <c r="D42" s="5"/>
      <c r="E42" s="5"/>
      <c r="F42" s="5"/>
      <c r="G42" s="5"/>
    </row>
    <row r="43">
      <c r="D43" s="5"/>
      <c r="E43" s="5"/>
      <c r="F43" s="5"/>
      <c r="G43" s="5"/>
    </row>
    <row r="44">
      <c r="D44" s="5"/>
      <c r="E44" s="5"/>
      <c r="F44" s="5"/>
      <c r="G44" s="5"/>
    </row>
    <row r="45">
      <c r="D45" s="5"/>
      <c r="E45" s="5"/>
      <c r="F45" s="5"/>
      <c r="G45" s="5"/>
    </row>
    <row r="46">
      <c r="D46" s="5"/>
      <c r="E46" s="5"/>
      <c r="F46" s="5"/>
      <c r="G46" s="5"/>
    </row>
    <row r="47">
      <c r="D47" s="5"/>
      <c r="E47" s="5"/>
      <c r="F47" s="5"/>
      <c r="G47" s="5"/>
    </row>
    <row r="48">
      <c r="D48" s="5"/>
      <c r="E48" s="5"/>
      <c r="F48" s="5"/>
      <c r="G48" s="5"/>
    </row>
    <row r="49">
      <c r="D49" s="5"/>
      <c r="E49" s="5"/>
      <c r="F49" s="5"/>
      <c r="G49" s="5"/>
    </row>
    <row r="50">
      <c r="D50" s="5"/>
      <c r="E50" s="5"/>
      <c r="F50" s="5"/>
      <c r="G50" s="5"/>
    </row>
    <row r="51">
      <c r="D51" s="5"/>
      <c r="E51" s="5"/>
      <c r="F51" s="5"/>
      <c r="G51" s="5"/>
    </row>
    <row r="52">
      <c r="D52" s="5"/>
      <c r="E52" s="5"/>
      <c r="F52" s="5"/>
      <c r="G52" s="5"/>
    </row>
    <row r="53">
      <c r="D53" s="5"/>
      <c r="E53" s="5"/>
      <c r="F53" s="5"/>
      <c r="G53" s="5"/>
    </row>
    <row r="54">
      <c r="D54" s="5"/>
      <c r="E54" s="5"/>
      <c r="F54" s="5"/>
      <c r="G54" s="5"/>
    </row>
    <row r="55">
      <c r="D55" s="5"/>
      <c r="E55" s="5"/>
      <c r="F55" s="5"/>
      <c r="G55" s="5"/>
    </row>
    <row r="56">
      <c r="D56" s="5"/>
      <c r="E56" s="5"/>
      <c r="F56" s="5"/>
      <c r="G56" s="5"/>
    </row>
    <row r="57">
      <c r="D57" s="5"/>
      <c r="E57" s="5"/>
      <c r="F57" s="5"/>
      <c r="G57" s="5"/>
    </row>
    <row r="58">
      <c r="D58" s="5"/>
      <c r="E58" s="5"/>
      <c r="F58" s="5"/>
      <c r="G58" s="5"/>
    </row>
    <row r="59">
      <c r="D59" s="5"/>
      <c r="E59" s="5"/>
      <c r="F59" s="5"/>
      <c r="G59" s="5"/>
    </row>
    <row r="60">
      <c r="D60" s="5"/>
      <c r="E60" s="5"/>
      <c r="F60" s="5"/>
      <c r="G60" s="5"/>
    </row>
    <row r="61">
      <c r="D61" s="5"/>
      <c r="E61" s="5"/>
      <c r="F61" s="5"/>
      <c r="G61" s="5"/>
    </row>
    <row r="62">
      <c r="D62" s="5"/>
      <c r="E62" s="5"/>
      <c r="F62" s="5"/>
      <c r="G62" s="5"/>
    </row>
    <row r="63">
      <c r="D63" s="5"/>
      <c r="E63" s="5"/>
      <c r="F63" s="5"/>
      <c r="G63" s="5"/>
    </row>
    <row r="64">
      <c r="D64" s="5"/>
      <c r="E64" s="5"/>
      <c r="F64" s="5"/>
      <c r="G64" s="5"/>
    </row>
    <row r="65">
      <c r="D65" s="5"/>
      <c r="E65" s="5"/>
      <c r="F65" s="5"/>
      <c r="G65" s="5"/>
    </row>
    <row r="66">
      <c r="D66" s="5"/>
      <c r="E66" s="5"/>
      <c r="F66" s="5"/>
      <c r="G66" s="5"/>
    </row>
    <row r="67">
      <c r="D67" s="5"/>
      <c r="E67" s="5"/>
      <c r="F67" s="5"/>
      <c r="G67" s="5"/>
    </row>
    <row r="68">
      <c r="D68" s="5"/>
      <c r="E68" s="5"/>
      <c r="F68" s="5"/>
      <c r="G68" s="5"/>
    </row>
    <row r="69">
      <c r="D69" s="5"/>
      <c r="E69" s="5"/>
      <c r="F69" s="5"/>
      <c r="G69" s="5"/>
    </row>
    <row r="70">
      <c r="D70" s="5"/>
      <c r="E70" s="5"/>
      <c r="F70" s="5"/>
      <c r="G70" s="5"/>
    </row>
    <row r="71">
      <c r="D71" s="5"/>
      <c r="E71" s="5"/>
      <c r="F71" s="5"/>
      <c r="G71" s="5"/>
    </row>
    <row r="72">
      <c r="D72" s="5"/>
      <c r="E72" s="5"/>
      <c r="F72" s="5"/>
      <c r="G72" s="5"/>
    </row>
    <row r="73">
      <c r="D73" s="5"/>
      <c r="E73" s="5"/>
      <c r="F73" s="5"/>
      <c r="G73" s="5"/>
    </row>
    <row r="74">
      <c r="D74" s="5"/>
      <c r="E74" s="5"/>
      <c r="F74" s="5"/>
      <c r="G74" s="5"/>
    </row>
    <row r="75">
      <c r="D75" s="5"/>
      <c r="E75" s="5"/>
      <c r="F75" s="5"/>
      <c r="G75" s="5"/>
    </row>
    <row r="76">
      <c r="D76" s="5"/>
      <c r="E76" s="5"/>
      <c r="F76" s="5"/>
      <c r="G76" s="5"/>
    </row>
    <row r="77">
      <c r="D77" s="5"/>
      <c r="E77" s="5"/>
      <c r="F77" s="5"/>
      <c r="G77" s="5"/>
    </row>
    <row r="78">
      <c r="D78" s="5"/>
      <c r="E78" s="5"/>
      <c r="F78" s="5"/>
      <c r="G78" s="5"/>
    </row>
    <row r="79">
      <c r="D79" s="5"/>
      <c r="E79" s="5"/>
      <c r="F79" s="5"/>
      <c r="G79" s="5"/>
    </row>
    <row r="80">
      <c r="D80" s="5"/>
      <c r="E80" s="5"/>
      <c r="F80" s="5"/>
      <c r="G80" s="5"/>
    </row>
    <row r="81">
      <c r="D81" s="5"/>
      <c r="E81" s="5"/>
      <c r="F81" s="5"/>
      <c r="G81" s="5"/>
    </row>
    <row r="82">
      <c r="D82" s="5"/>
      <c r="E82" s="5"/>
      <c r="F82" s="5"/>
      <c r="G82" s="5"/>
    </row>
    <row r="83">
      <c r="D83" s="5"/>
      <c r="E83" s="5"/>
      <c r="F83" s="5"/>
      <c r="G83" s="5"/>
    </row>
    <row r="84">
      <c r="D84" s="5"/>
      <c r="E84" s="5"/>
      <c r="F84" s="5"/>
      <c r="G84" s="5"/>
    </row>
    <row r="85">
      <c r="D85" s="5"/>
      <c r="E85" s="5"/>
      <c r="F85" s="5"/>
      <c r="G85" s="5"/>
    </row>
    <row r="86">
      <c r="D86" s="5"/>
      <c r="E86" s="5"/>
      <c r="F86" s="5"/>
      <c r="G86" s="5"/>
    </row>
    <row r="87">
      <c r="D87" s="5"/>
      <c r="E87" s="5"/>
      <c r="F87" s="5"/>
      <c r="G87" s="5"/>
    </row>
    <row r="88">
      <c r="D88" s="5"/>
      <c r="E88" s="5"/>
      <c r="F88" s="5"/>
      <c r="G88" s="5"/>
    </row>
    <row r="89">
      <c r="D89" s="5"/>
      <c r="E89" s="5"/>
      <c r="F89" s="5"/>
      <c r="G89" s="5"/>
    </row>
    <row r="90">
      <c r="D90" s="5"/>
      <c r="E90" s="5"/>
      <c r="F90" s="5"/>
      <c r="G90" s="5"/>
    </row>
    <row r="91">
      <c r="D91" s="5"/>
      <c r="E91" s="5"/>
      <c r="F91" s="5"/>
      <c r="G91" s="5"/>
    </row>
    <row r="92">
      <c r="D92" s="5"/>
      <c r="E92" s="5"/>
      <c r="F92" s="5"/>
      <c r="G92" s="5"/>
    </row>
    <row r="93">
      <c r="D93" s="5"/>
      <c r="E93" s="5"/>
      <c r="F93" s="5"/>
      <c r="G93" s="5"/>
    </row>
    <row r="94">
      <c r="D94" s="5"/>
      <c r="E94" s="5"/>
      <c r="F94" s="5"/>
      <c r="G94" s="5"/>
    </row>
    <row r="95">
      <c r="D95" s="5"/>
      <c r="E95" s="5"/>
      <c r="F95" s="5"/>
      <c r="G95" s="5"/>
    </row>
    <row r="96">
      <c r="D96" s="5"/>
      <c r="E96" s="5"/>
      <c r="F96" s="5"/>
      <c r="G96" s="5"/>
    </row>
    <row r="97">
      <c r="D97" s="5"/>
      <c r="E97" s="5"/>
      <c r="F97" s="5"/>
      <c r="G97" s="5"/>
    </row>
    <row r="98">
      <c r="D98" s="5"/>
      <c r="E98" s="5"/>
      <c r="F98" s="5"/>
      <c r="G98" s="5"/>
    </row>
    <row r="99">
      <c r="D99" s="5"/>
      <c r="E99" s="5"/>
      <c r="F99" s="5"/>
      <c r="G99" s="5"/>
    </row>
    <row r="100">
      <c r="D100" s="5"/>
      <c r="E100" s="5"/>
      <c r="F100" s="5"/>
      <c r="G100" s="5"/>
    </row>
  </sheetData>
  <drawing r:id="rId1"/>
</worksheet>
</file>