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P:\source_control\work\Excel\"/>
    </mc:Choice>
  </mc:AlternateContent>
  <xr:revisionPtr revIDLastSave="0" documentId="13_ncr:1_{0A7231E5-890A-424F-8C4C-755280B402FF}" xr6:coauthVersionLast="47" xr6:coauthVersionMax="47" xr10:uidLastSave="{00000000-0000-0000-0000-000000000000}"/>
  <bookViews>
    <workbookView xWindow="9780" yWindow="1780" windowWidth="21750" windowHeight="17160" firstSheet="1" activeTab="1" xr2:uid="{958F7B3C-735E-49EF-896A-5137EFC329F8}"/>
  </bookViews>
  <sheets>
    <sheet name="HelpPage" sheetId="7" r:id="rId1"/>
    <sheet name="ProjectSummary" sheetId="1" r:id="rId2"/>
    <sheet name="Report" sheetId="10" r:id="rId3"/>
    <sheet name="ProjectSchedule" sheetId="6" r:id="rId4"/>
    <sheet name="ProjectPlan" sheetId="2" r:id="rId5"/>
    <sheet name="Information" sheetId="4" r:id="rId6"/>
    <sheet name="Holidays" sheetId="8" r:id="rId7"/>
    <sheet name="Staff" sheetId="9" r:id="rId8"/>
    <sheet name="Data" sheetId="3" state="hidden" r:id="rId9"/>
  </sheets>
  <definedNames>
    <definedName name="_xlnm._FilterDatabase" localSheetId="3" hidden="1">ProjectSchedule!$B$1:$BM$85</definedName>
    <definedName name="_xlnm._FilterDatabase" localSheetId="2" hidden="1">Report!$B$3:$M$6</definedName>
    <definedName name="AssignedTo_first_30">ProjectPlan!$L$4:$L$8,ProjectPlan!$L$11:$L$15,ProjectPlan!$L$18:$L$22,ProjectPlan!$L$25:$L$29,ProjectPlan!$L$32:$L$36,ProjectPlan!$L$39:$L$43</definedName>
    <definedName name="end_dates">tbl_project_helper[End]</definedName>
    <definedName name="holiday_types">tbl_holiday_type[Holiday Type]</definedName>
    <definedName name="info_ref">_xlfn.ANCHORARRAY(Information!$F$9)</definedName>
    <definedName name="Info_task_ref">_xlfn.ANCHORARRAY(Data!$AH$56)</definedName>
    <definedName name="PCT">tbl_pct_status[PCT]</definedName>
    <definedName name="Plan_end_date">ProjectPlan!$K$1</definedName>
    <definedName name="Plan_start_date">ProjectPlan!$E$1</definedName>
    <definedName name="_xlnm.Print_Titles" localSheetId="3">ProjectSchedule!$4:$6</definedName>
    <definedName name="prj_ref">ProjectPlan!$B$4:$B$8,ProjectPlan!$B$11:$B$15,ProjectPlan!$B$18:$B$22,ProjectPlan!$B$25:$B$29,ProjectPlan!$B$32:$B$36,ProjectPlan!$B$39:$B$43,ProjectPlan!$B$46:$B$50,ProjectPlan!$B$53:$B$57,ProjectPlan!$B$60:$B$64,ProjectPlan!$B$67:$B$71,ProjectPlan!$B$74:$B$78,ProjectPlan!$B$81:$B$85,ProjectPlan!$B$88:$B$92</definedName>
    <definedName name="proj_assign_to">ProjectPlan!$L$4:$L$8,ProjectPlan!$L$11:$L$15,ProjectPlan!$L$18:$L$22,ProjectPlan!$L$25:$L$29</definedName>
    <definedName name="Project_Start">ProjectSchedule!$F$3</definedName>
    <definedName name="RoleRef_1">_xlfn.ANCHORARRAY(Data!$C$56)</definedName>
    <definedName name="RoleRef_10">_xlfn.ANCHORARRAY(Data!$L$56)</definedName>
    <definedName name="RoleRef_11">_xlfn.ANCHORARRAY(Data!$M$56)</definedName>
    <definedName name="RoleRef_12">_xlfn.ANCHORARRAY(Data!$N$56)</definedName>
    <definedName name="RoleRef_13">_xlfn.ANCHORARRAY(Data!$O$56)</definedName>
    <definedName name="RoleRef_14">_xlfn.ANCHORARRAY(Data!$P$56)</definedName>
    <definedName name="RoleRef_15">_xlfn.ANCHORARRAY(Data!$Q$56)</definedName>
    <definedName name="RoleRef_16">_xlfn.ANCHORARRAY(Data!$R$56)</definedName>
    <definedName name="RoleRef_17">_xlfn.ANCHORARRAY(Data!$S$56)</definedName>
    <definedName name="RoleRef_18">_xlfn.ANCHORARRAY(Data!$T$56)</definedName>
    <definedName name="RoleRef_19">_xlfn.ANCHORARRAY(Data!$U$56)</definedName>
    <definedName name="RoleRef_2">_xlfn.ANCHORARRAY(Data!$D$56)</definedName>
    <definedName name="RoleRef_20">_xlfn.ANCHORARRAY(Data!$V$56)</definedName>
    <definedName name="RoleRef_3">_xlfn.ANCHORARRAY(Data!$E$56)</definedName>
    <definedName name="RoleRef_4">_xlfn.ANCHORARRAY(Data!$F$56)</definedName>
    <definedName name="RoleRef_5">_xlfn.ANCHORARRAY(Data!$G$56)</definedName>
    <definedName name="RoleRef_6">_xlfn.ANCHORARRAY(Data!$H$56)</definedName>
    <definedName name="RoleRef_7">_xlfn.ANCHORARRAY(Data!$I$56)</definedName>
    <definedName name="RoleRef_8">_xlfn.ANCHORARRAY(Data!$J$56)</definedName>
    <definedName name="RoleRef_9">_xlfn.ANCHORARRAY(Data!$K$56)</definedName>
    <definedName name="Roles">tbl_roles[Roles]</definedName>
    <definedName name="Selected">tbl_project_helper[Selected]</definedName>
    <definedName name="Short_Code">tbl_roles[Short Code]</definedName>
    <definedName name="solver_adj" localSheetId="4" hidden="1">ProjectPlan!$L$4:$L$8,ProjectPlan!$L$11:$L$15,ProjectPlan!$L$18:$L$22,ProjectPlan!$L$25:$L$29</definedName>
    <definedName name="solver_eng" localSheetId="4" hidden="1">1</definedName>
    <definedName name="solver_neg" localSheetId="4" hidden="1">1</definedName>
    <definedName name="solver_num" localSheetId="4" hidden="1">0</definedName>
    <definedName name="solver_opt" localSheetId="4" hidden="1">ProjectPlan!$K$1</definedName>
    <definedName name="solver_typ" localSheetId="4" hidden="1">2</definedName>
    <definedName name="solver_val" localSheetId="4" hidden="1">0</definedName>
    <definedName name="solver_ver" localSheetId="4" hidden="1">3</definedName>
    <definedName name="Staff">tbl_staff_list[Name]</definedName>
    <definedName name="Staff_Role">tbl_staff_list[]</definedName>
    <definedName name="start_dates">tbl_project_helper[Start]</definedName>
    <definedName name="task_end" localSheetId="3">ProjectSchedule!$G1</definedName>
    <definedName name="task_progress" localSheetId="3">ProjectSchedule!$E1</definedName>
    <definedName name="task_start" localSheetId="3">ProjectSchedule!$F1</definedName>
    <definedName name="tbl_proj_gantt">ProjectSchedule!$C$9</definedName>
    <definedName name="today" localSheetId="3">TODAY()</definedName>
    <definedName name="Used_done">_xlfn.ANCHORARRAY(Data!$AG$56)</definedName>
    <definedName name="used_months">_xlfn.ANCHORARRAY(Data!$F$19)</definedName>
    <definedName name="Used_ref">_xlfn.ANCHORARRAY(Data!$U$76)</definedName>
    <definedName name="Used_Roles">_xlfn.ANCHORARRAY(Data!$X$56)</definedName>
    <definedName name="used_years">_xlfn.ANCHORARRAY(Data!$D$19)</definedName>
    <definedName name="weeks_used">_xlfn.ANCHORARRAY(Data!$T$25)</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9" l="1"/>
  <c r="I59" i="8"/>
  <c r="I19" i="8"/>
  <c r="I20" i="8"/>
  <c r="I21" i="8"/>
  <c r="I22" i="8"/>
  <c r="I23" i="8"/>
  <c r="I24" i="8"/>
  <c r="I25" i="8"/>
  <c r="I26" i="8"/>
  <c r="I27" i="8"/>
  <c r="I28" i="8"/>
  <c r="I29" i="8"/>
  <c r="I18" i="8" l="1"/>
  <c r="F53" i="1"/>
  <c r="G53" i="1"/>
  <c r="H53" i="1" a="1"/>
  <c r="H53" i="1" s="1"/>
  <c r="I53" i="1" a="1"/>
  <c r="I53" i="1" s="1"/>
  <c r="J53" i="1" s="1"/>
  <c r="F54" i="1"/>
  <c r="G54" i="1"/>
  <c r="H54" i="1" a="1"/>
  <c r="H54" i="1" s="1"/>
  <c r="I54" i="1" a="1"/>
  <c r="I54" i="1" s="1"/>
  <c r="J54" i="1" s="1"/>
  <c r="F55" i="1"/>
  <c r="G55" i="1"/>
  <c r="H55" i="1" a="1"/>
  <c r="H55" i="1" s="1"/>
  <c r="I55" i="1" a="1"/>
  <c r="I55" i="1" s="1"/>
  <c r="J55" i="1" s="1"/>
  <c r="F56" i="1"/>
  <c r="G56" i="1"/>
  <c r="H56" i="1" a="1"/>
  <c r="H56" i="1" s="1"/>
  <c r="I56" i="1" a="1"/>
  <c r="I56" i="1" s="1"/>
  <c r="J56" i="1" s="1"/>
  <c r="F57" i="1"/>
  <c r="G57" i="1"/>
  <c r="H57" i="1" a="1"/>
  <c r="H57" i="1" s="1"/>
  <c r="I57" i="1" a="1"/>
  <c r="I57" i="1" s="1"/>
  <c r="J57" i="1" s="1"/>
  <c r="F58" i="1"/>
  <c r="G58" i="1"/>
  <c r="H58" i="1" a="1"/>
  <c r="H58" i="1" s="1"/>
  <c r="I58" i="1" a="1"/>
  <c r="I58" i="1" s="1"/>
  <c r="J58" i="1" s="1"/>
  <c r="F59" i="1"/>
  <c r="G59" i="1"/>
  <c r="H59" i="1" a="1"/>
  <c r="H59" i="1" s="1"/>
  <c r="I59" i="1" a="1"/>
  <c r="I59" i="1" s="1"/>
  <c r="J59" i="1" s="1"/>
  <c r="N18" i="10"/>
  <c r="O18" i="10"/>
  <c r="P18" i="10"/>
  <c r="N19" i="10"/>
  <c r="O19" i="10"/>
  <c r="P19" i="10"/>
  <c r="N20" i="10"/>
  <c r="O20" i="10"/>
  <c r="P20" i="10"/>
  <c r="N21" i="10"/>
  <c r="O21" i="10"/>
  <c r="P21" i="10"/>
  <c r="N22" i="10"/>
  <c r="O22" i="10"/>
  <c r="P22" i="10"/>
  <c r="N23" i="10"/>
  <c r="O23" i="10"/>
  <c r="P23" i="10"/>
  <c r="N24" i="10"/>
  <c r="O24" i="10"/>
  <c r="P24" i="10"/>
  <c r="N25" i="10"/>
  <c r="O25" i="10"/>
  <c r="P25" i="10"/>
  <c r="N26" i="10"/>
  <c r="O26" i="10"/>
  <c r="P26" i="10"/>
  <c r="N27" i="10"/>
  <c r="O27" i="10"/>
  <c r="P27" i="10"/>
  <c r="N28" i="10"/>
  <c r="O28" i="10"/>
  <c r="P28" i="10"/>
  <c r="N29" i="10"/>
  <c r="O29" i="10"/>
  <c r="P29" i="10"/>
  <c r="N30" i="10"/>
  <c r="O30" i="10"/>
  <c r="P30" i="10"/>
  <c r="N31" i="10"/>
  <c r="O31" i="10"/>
  <c r="P31" i="10"/>
  <c r="N32" i="10"/>
  <c r="O32" i="10"/>
  <c r="P32" i="10"/>
  <c r="N33" i="10"/>
  <c r="O33" i="10"/>
  <c r="P33" i="10"/>
  <c r="N34" i="10"/>
  <c r="O34" i="10"/>
  <c r="P34" i="10"/>
  <c r="N35" i="10"/>
  <c r="O35" i="10"/>
  <c r="P35" i="10"/>
  <c r="N36" i="10"/>
  <c r="O36" i="10"/>
  <c r="P36" i="10"/>
  <c r="N37" i="10"/>
  <c r="O37" i="10"/>
  <c r="P37" i="10"/>
  <c r="N38" i="10"/>
  <c r="O38" i="10"/>
  <c r="P38" i="10"/>
  <c r="N39" i="10"/>
  <c r="O39" i="10"/>
  <c r="P39" i="10"/>
  <c r="N40" i="10"/>
  <c r="O40" i="10"/>
  <c r="P40" i="10"/>
  <c r="N41" i="10"/>
  <c r="O41" i="10"/>
  <c r="P41" i="10"/>
  <c r="N42" i="10"/>
  <c r="O42" i="10"/>
  <c r="P42" i="10"/>
  <c r="N43" i="10"/>
  <c r="O43" i="10"/>
  <c r="P43" i="10"/>
  <c r="N44" i="10"/>
  <c r="O44" i="10"/>
  <c r="P44" i="10"/>
  <c r="N45" i="10"/>
  <c r="O45" i="10"/>
  <c r="P45" i="10"/>
  <c r="N46" i="10"/>
  <c r="O46" i="10"/>
  <c r="P46" i="10"/>
  <c r="N47" i="10"/>
  <c r="O47" i="10"/>
  <c r="P47" i="10"/>
  <c r="N48" i="10"/>
  <c r="O48" i="10"/>
  <c r="P48" i="10"/>
  <c r="N49" i="10"/>
  <c r="O49" i="10"/>
  <c r="P49" i="10"/>
  <c r="N50" i="10"/>
  <c r="O50" i="10"/>
  <c r="P50" i="10"/>
  <c r="N51" i="10"/>
  <c r="O51" i="10"/>
  <c r="P51" i="10"/>
  <c r="N52" i="10"/>
  <c r="O52" i="10"/>
  <c r="P52" i="10"/>
  <c r="N53" i="10"/>
  <c r="O53" i="10"/>
  <c r="P53" i="10"/>
  <c r="N54" i="10"/>
  <c r="O54" i="10"/>
  <c r="P54" i="10"/>
  <c r="N55" i="10"/>
  <c r="O55" i="10"/>
  <c r="P55" i="10"/>
  <c r="N56" i="10"/>
  <c r="O56" i="10"/>
  <c r="P56" i="10"/>
  <c r="N57" i="10"/>
  <c r="O57" i="10"/>
  <c r="P57" i="10"/>
  <c r="N58" i="10"/>
  <c r="O58" i="10"/>
  <c r="P58" i="10"/>
  <c r="N59" i="10"/>
  <c r="O59" i="10"/>
  <c r="P59" i="10"/>
  <c r="N60" i="10"/>
  <c r="O60" i="10"/>
  <c r="P60" i="10"/>
  <c r="N61" i="10"/>
  <c r="O61" i="10"/>
  <c r="P61" i="10"/>
  <c r="N62" i="10"/>
  <c r="O62" i="10"/>
  <c r="P62" i="10"/>
  <c r="N63" i="10"/>
  <c r="O63" i="10"/>
  <c r="P63" i="10"/>
  <c r="N64" i="10"/>
  <c r="O64" i="10"/>
  <c r="P64" i="10"/>
  <c r="N65" i="10"/>
  <c r="O65" i="10"/>
  <c r="P65" i="10"/>
  <c r="N66" i="10"/>
  <c r="O66" i="10"/>
  <c r="P66" i="10"/>
  <c r="N67" i="10"/>
  <c r="O67" i="10"/>
  <c r="P67" i="10"/>
  <c r="N68" i="10"/>
  <c r="O68" i="10"/>
  <c r="P68" i="10"/>
  <c r="N69" i="10"/>
  <c r="O69" i="10"/>
  <c r="P69" i="10"/>
  <c r="N70" i="10"/>
  <c r="O70" i="10"/>
  <c r="P70" i="10"/>
  <c r="N71" i="10"/>
  <c r="O71" i="10"/>
  <c r="P71" i="10"/>
  <c r="N72" i="10"/>
  <c r="O72" i="10"/>
  <c r="P72" i="10"/>
  <c r="N73" i="10"/>
  <c r="O73" i="10"/>
  <c r="P73" i="10"/>
  <c r="N74" i="10"/>
  <c r="O74" i="10"/>
  <c r="P74" i="10"/>
  <c r="N75" i="10"/>
  <c r="O75" i="10"/>
  <c r="P75" i="10"/>
  <c r="N76" i="10"/>
  <c r="O76" i="10"/>
  <c r="P76" i="10"/>
  <c r="N77" i="10"/>
  <c r="O77" i="10"/>
  <c r="P77" i="10"/>
  <c r="N78" i="10"/>
  <c r="O78" i="10"/>
  <c r="P78" i="10"/>
  <c r="N79" i="10"/>
  <c r="O79" i="10"/>
  <c r="P79" i="10"/>
  <c r="N80" i="10"/>
  <c r="O80" i="10"/>
  <c r="P80" i="10"/>
  <c r="N81" i="10"/>
  <c r="O81" i="10"/>
  <c r="P81" i="10"/>
  <c r="N82" i="10"/>
  <c r="O82" i="10"/>
  <c r="P82" i="10"/>
  <c r="N83" i="10"/>
  <c r="O83" i="10"/>
  <c r="P83" i="10"/>
  <c r="N84" i="10"/>
  <c r="O84" i="10"/>
  <c r="P84" i="10"/>
  <c r="N85" i="10"/>
  <c r="O85" i="10"/>
  <c r="P85" i="10"/>
  <c r="N86" i="10"/>
  <c r="O86" i="10"/>
  <c r="P86" i="10"/>
  <c r="N87" i="10"/>
  <c r="O87" i="10"/>
  <c r="P87" i="10"/>
  <c r="N88" i="10"/>
  <c r="O88" i="10"/>
  <c r="P88" i="10"/>
  <c r="N89" i="10"/>
  <c r="O89" i="10"/>
  <c r="P89" i="10"/>
  <c r="N90" i="10"/>
  <c r="O90" i="10"/>
  <c r="P90" i="10"/>
  <c r="N91" i="10"/>
  <c r="O91" i="10"/>
  <c r="P91" i="10"/>
  <c r="N92" i="10"/>
  <c r="O92" i="10"/>
  <c r="P92" i="10"/>
  <c r="N93" i="10"/>
  <c r="O93" i="10"/>
  <c r="P93" i="10"/>
  <c r="N94" i="10"/>
  <c r="O94" i="10"/>
  <c r="P94" i="10"/>
  <c r="N95" i="10"/>
  <c r="O95" i="10"/>
  <c r="P95" i="10"/>
  <c r="N96" i="10"/>
  <c r="O96" i="10"/>
  <c r="P96" i="10"/>
  <c r="N97" i="10"/>
  <c r="O97" i="10"/>
  <c r="P97" i="10"/>
  <c r="N98" i="10"/>
  <c r="O98" i="10"/>
  <c r="P98" i="10"/>
  <c r="N99" i="10"/>
  <c r="O99" i="10"/>
  <c r="P99" i="10"/>
  <c r="N100" i="10"/>
  <c r="O100" i="10"/>
  <c r="P100" i="10"/>
  <c r="N101" i="10"/>
  <c r="O101" i="10"/>
  <c r="P101" i="10"/>
  <c r="B1" i="10"/>
  <c r="K58" i="1" l="1"/>
  <c r="K54" i="1"/>
  <c r="K57" i="1"/>
  <c r="K55" i="1"/>
  <c r="K53" i="1"/>
  <c r="K56" i="1"/>
  <c r="K59" i="1"/>
  <c r="C38" i="1" l="1" a="1"/>
  <c r="I30" i="8"/>
  <c r="X13" i="2"/>
  <c r="Y13" i="2" s="1"/>
  <c r="K18" i="4"/>
  <c r="K19" i="4"/>
  <c r="K20" i="4"/>
  <c r="K21" i="4"/>
  <c r="K22" i="4"/>
  <c r="K23" i="4"/>
  <c r="K24" i="4"/>
  <c r="K25" i="4"/>
  <c r="K26" i="4"/>
  <c r="K27" i="4"/>
  <c r="K28" i="4"/>
  <c r="K29" i="4"/>
  <c r="K30" i="4"/>
  <c r="H93" i="2"/>
  <c r="H86" i="2"/>
  <c r="H79" i="2"/>
  <c r="H72" i="2"/>
  <c r="H65" i="2"/>
  <c r="H58" i="2"/>
  <c r="H51" i="2"/>
  <c r="H44" i="2"/>
  <c r="H37" i="2"/>
  <c r="H30" i="2"/>
  <c r="H23" i="2"/>
  <c r="G16" i="2"/>
  <c r="H16" i="2"/>
  <c r="H9" i="2"/>
  <c r="G9" i="2"/>
  <c r="Q9" i="2" a="1"/>
  <c r="Q9" i="2" s="1"/>
  <c r="Q10" i="2" a="1"/>
  <c r="Q10" i="2" s="1"/>
  <c r="Q16" i="2" a="1"/>
  <c r="Q16" i="2" s="1"/>
  <c r="Q17" i="2" a="1"/>
  <c r="Q17" i="2" s="1"/>
  <c r="Q23" i="2" a="1"/>
  <c r="Q23" i="2" s="1"/>
  <c r="Q24" i="2" a="1"/>
  <c r="Q24" i="2" s="1"/>
  <c r="Q30" i="2" a="1"/>
  <c r="Q30" i="2" s="1"/>
  <c r="Q31" i="2" a="1"/>
  <c r="Q31" i="2" s="1"/>
  <c r="Q37" i="2" a="1"/>
  <c r="Q37" i="2" s="1"/>
  <c r="Q38" i="2" a="1"/>
  <c r="Q38" i="2" s="1"/>
  <c r="Q44" i="2" a="1"/>
  <c r="Q44" i="2" s="1"/>
  <c r="Q45" i="2" a="1"/>
  <c r="Q45" i="2" s="1"/>
  <c r="Q51" i="2" a="1"/>
  <c r="Q51" i="2" s="1"/>
  <c r="Q52" i="2" a="1"/>
  <c r="Q52" i="2" s="1"/>
  <c r="Q58" i="2" a="1"/>
  <c r="Q58" i="2" s="1"/>
  <c r="Q59" i="2" a="1"/>
  <c r="Q59" i="2" s="1"/>
  <c r="Q65" i="2" a="1"/>
  <c r="Q65" i="2" s="1"/>
  <c r="Q66" i="2" a="1"/>
  <c r="Q66" i="2" s="1"/>
  <c r="Q72" i="2" a="1"/>
  <c r="Q72" i="2" s="1"/>
  <c r="Q73" i="2" a="1"/>
  <c r="Q73" i="2" s="1"/>
  <c r="Q79" i="2" a="1"/>
  <c r="Q79" i="2" s="1"/>
  <c r="Q80" i="2" a="1"/>
  <c r="Q80" i="2" s="1"/>
  <c r="Q86" i="2" a="1"/>
  <c r="Q86" i="2" s="1"/>
  <c r="Q87" i="2" a="1"/>
  <c r="Q87" i="2" s="1"/>
  <c r="Q3" i="8" a="1"/>
  <c r="R27" i="8" s="1"/>
  <c r="I22" i="9"/>
  <c r="I21" i="9"/>
  <c r="I20" i="9"/>
  <c r="I19" i="9"/>
  <c r="I18" i="9"/>
  <c r="E18" i="9" s="1"/>
  <c r="I17" i="9"/>
  <c r="I16" i="9"/>
  <c r="I15" i="9"/>
  <c r="E30" i="9" s="1"/>
  <c r="I14" i="9"/>
  <c r="E29" i="9" s="1"/>
  <c r="I13" i="9"/>
  <c r="I12" i="9"/>
  <c r="I11" i="9"/>
  <c r="I10" i="9"/>
  <c r="I9" i="9"/>
  <c r="I8" i="9"/>
  <c r="I7" i="9"/>
  <c r="E22" i="9" s="1"/>
  <c r="E7" i="9"/>
  <c r="I6" i="9"/>
  <c r="I5" i="9"/>
  <c r="I4" i="9"/>
  <c r="I3" i="9"/>
  <c r="E3" i="9" s="1"/>
  <c r="Q81" i="2" s="1" a="1"/>
  <c r="Q81" i="2" s="1"/>
  <c r="I32" i="8"/>
  <c r="I31" i="8"/>
  <c r="I33" i="8"/>
  <c r="I58" i="8"/>
  <c r="I57" i="8"/>
  <c r="I56" i="8"/>
  <c r="I55" i="8"/>
  <c r="I54" i="8"/>
  <c r="I53" i="8"/>
  <c r="I39" i="8"/>
  <c r="I38" i="8"/>
  <c r="I37" i="8"/>
  <c r="I36" i="8"/>
  <c r="I35" i="8"/>
  <c r="I34" i="8"/>
  <c r="I52" i="8"/>
  <c r="I51" i="8"/>
  <c r="I50" i="8"/>
  <c r="I49" i="8"/>
  <c r="I48" i="8"/>
  <c r="I47" i="8"/>
  <c r="I46" i="8"/>
  <c r="I45" i="8"/>
  <c r="I44" i="8"/>
  <c r="I43" i="8"/>
  <c r="I42" i="8"/>
  <c r="I41" i="8"/>
  <c r="I40" i="8"/>
  <c r="I17" i="8"/>
  <c r="I16" i="8"/>
  <c r="I15" i="8"/>
  <c r="I14" i="8"/>
  <c r="I13" i="8"/>
  <c r="I12" i="8"/>
  <c r="I11" i="8"/>
  <c r="I10" i="8"/>
  <c r="I9" i="8"/>
  <c r="I8" i="8"/>
  <c r="I7" i="8"/>
  <c r="I6" i="8"/>
  <c r="I5" i="8"/>
  <c r="I4" i="8"/>
  <c r="I3" i="8"/>
  <c r="C137" i="3"/>
  <c r="M137" i="3" s="1"/>
  <c r="C138" i="3"/>
  <c r="N138" i="3" s="1"/>
  <c r="C139" i="3"/>
  <c r="B139" i="3" s="1"/>
  <c r="E139" i="3" s="1"/>
  <c r="C140" i="3"/>
  <c r="B140" i="3" s="1"/>
  <c r="E140" i="3" s="1"/>
  <c r="C136" i="3"/>
  <c r="L136" i="3" s="1"/>
  <c r="C132" i="3"/>
  <c r="J132" i="3" s="1"/>
  <c r="C133" i="3"/>
  <c r="J133" i="3" s="1"/>
  <c r="C134" i="3"/>
  <c r="B134" i="3" s="1"/>
  <c r="E134" i="3" s="1"/>
  <c r="C135" i="3"/>
  <c r="K135" i="3" s="1" a="1"/>
  <c r="K135" i="3" s="1"/>
  <c r="C131" i="3"/>
  <c r="J131" i="3" s="1"/>
  <c r="C127" i="3"/>
  <c r="K127" i="3" s="1" a="1"/>
  <c r="K127" i="3" s="1"/>
  <c r="C128" i="3"/>
  <c r="K128" i="3" s="1" a="1"/>
  <c r="K128" i="3" s="1"/>
  <c r="C129" i="3"/>
  <c r="K129" i="3" s="1" a="1"/>
  <c r="K129" i="3" s="1"/>
  <c r="C130" i="3"/>
  <c r="M130" i="3" s="1"/>
  <c r="C126" i="3"/>
  <c r="K126" i="3" s="1" a="1"/>
  <c r="K126" i="3" s="1"/>
  <c r="C122" i="3"/>
  <c r="K122" i="3" s="1" a="1"/>
  <c r="K122" i="3" s="1"/>
  <c r="C123" i="3"/>
  <c r="K123" i="3" s="1" a="1"/>
  <c r="K123" i="3" s="1"/>
  <c r="C124" i="3"/>
  <c r="K124" i="3" s="1" a="1"/>
  <c r="K124" i="3" s="1"/>
  <c r="C125" i="3"/>
  <c r="K125" i="3" s="1" a="1"/>
  <c r="K125" i="3" s="1"/>
  <c r="C121" i="3"/>
  <c r="K121" i="3" s="1" a="1"/>
  <c r="K121" i="3" s="1"/>
  <c r="C117" i="3"/>
  <c r="K117" i="3" s="1" a="1"/>
  <c r="K117" i="3" s="1"/>
  <c r="C118" i="3"/>
  <c r="K118" i="3" s="1" a="1"/>
  <c r="K118" i="3" s="1"/>
  <c r="C119" i="3"/>
  <c r="K119" i="3" s="1" a="1"/>
  <c r="K119" i="3" s="1"/>
  <c r="C120" i="3"/>
  <c r="K120" i="3" s="1" a="1"/>
  <c r="K120" i="3" s="1"/>
  <c r="C116" i="3"/>
  <c r="B116" i="3" s="1"/>
  <c r="E116" i="3" s="1"/>
  <c r="C112" i="3"/>
  <c r="K112" i="3" s="1" a="1"/>
  <c r="K112" i="3" s="1"/>
  <c r="C113" i="3"/>
  <c r="K113" i="3" s="1" a="1"/>
  <c r="K113" i="3" s="1"/>
  <c r="C114" i="3"/>
  <c r="K114" i="3" s="1" a="1"/>
  <c r="K114" i="3" s="1"/>
  <c r="C115" i="3"/>
  <c r="B115" i="3" s="1"/>
  <c r="E115" i="3" s="1"/>
  <c r="C111" i="3"/>
  <c r="K111" i="3" s="1" a="1"/>
  <c r="K111" i="3" s="1"/>
  <c r="C107" i="3"/>
  <c r="B107" i="3" s="1"/>
  <c r="E107" i="3" s="1"/>
  <c r="C108" i="3"/>
  <c r="B108" i="3" s="1"/>
  <c r="E108" i="3" s="1"/>
  <c r="C109" i="3"/>
  <c r="K109" i="3" s="1" a="1"/>
  <c r="K109" i="3" s="1"/>
  <c r="C110" i="3"/>
  <c r="K110" i="3" s="1" a="1"/>
  <c r="K110" i="3" s="1"/>
  <c r="C106" i="3"/>
  <c r="K106" i="3" s="1" a="1"/>
  <c r="K106" i="3" s="1"/>
  <c r="C102" i="3"/>
  <c r="K102" i="3" s="1" a="1"/>
  <c r="K102" i="3" s="1"/>
  <c r="C103" i="3"/>
  <c r="K103" i="3" s="1" a="1"/>
  <c r="K103" i="3" s="1"/>
  <c r="C104" i="3"/>
  <c r="K104" i="3" s="1" a="1"/>
  <c r="K104" i="3" s="1"/>
  <c r="C105" i="3"/>
  <c r="K105" i="3" s="1" a="1"/>
  <c r="K105" i="3" s="1"/>
  <c r="C101" i="3"/>
  <c r="K101" i="3" s="1" a="1"/>
  <c r="K101" i="3" s="1"/>
  <c r="C97" i="3"/>
  <c r="K97" i="3" s="1" a="1"/>
  <c r="K97" i="3" s="1"/>
  <c r="C98" i="3"/>
  <c r="K98" i="3" s="1" a="1"/>
  <c r="K98" i="3" s="1"/>
  <c r="C99" i="3"/>
  <c r="B99" i="3" s="1"/>
  <c r="E99" i="3" s="1"/>
  <c r="C100" i="3"/>
  <c r="B100" i="3" s="1"/>
  <c r="E100" i="3" s="1"/>
  <c r="C96" i="3"/>
  <c r="K96" i="3" s="1" a="1"/>
  <c r="K96" i="3" s="1"/>
  <c r="C92" i="3"/>
  <c r="B92" i="3" s="1"/>
  <c r="E92" i="3" s="1"/>
  <c r="C93" i="3"/>
  <c r="K93" i="3" s="1" a="1"/>
  <c r="K93" i="3" s="1"/>
  <c r="C94" i="3"/>
  <c r="K94" i="3" s="1" a="1"/>
  <c r="K94" i="3" s="1"/>
  <c r="C95" i="3"/>
  <c r="B95" i="3" s="1"/>
  <c r="E95" i="3" s="1"/>
  <c r="C91" i="3"/>
  <c r="K91" i="3" s="1" a="1"/>
  <c r="K91" i="3" s="1"/>
  <c r="C87" i="3"/>
  <c r="K87" i="3" s="1" a="1"/>
  <c r="K87" i="3" s="1"/>
  <c r="C88" i="3"/>
  <c r="K88" i="3" s="1" a="1"/>
  <c r="K88" i="3" s="1"/>
  <c r="C89" i="3"/>
  <c r="K89" i="3" s="1" a="1"/>
  <c r="K89" i="3" s="1"/>
  <c r="C90" i="3"/>
  <c r="K90" i="3" s="1" a="1"/>
  <c r="K90" i="3" s="1"/>
  <c r="C86" i="3"/>
  <c r="K86" i="3" s="1" a="1"/>
  <c r="K86" i="3" s="1"/>
  <c r="C82" i="3"/>
  <c r="K82" i="3" s="1" a="1"/>
  <c r="K82" i="3" s="1"/>
  <c r="C83" i="3"/>
  <c r="K83" i="3" s="1" a="1"/>
  <c r="K83" i="3" s="1"/>
  <c r="C84" i="3"/>
  <c r="K84" i="3" s="1" a="1"/>
  <c r="K84" i="3" s="1"/>
  <c r="C85" i="3"/>
  <c r="K85" i="3" s="1" a="1"/>
  <c r="K85" i="3" s="1"/>
  <c r="C81" i="3"/>
  <c r="B81" i="3" s="1"/>
  <c r="E81" i="3" s="1"/>
  <c r="C77" i="3"/>
  <c r="B77" i="3" s="1"/>
  <c r="E77" i="3" s="1"/>
  <c r="C78" i="3"/>
  <c r="B78" i="3" s="1"/>
  <c r="E78" i="3" s="1"/>
  <c r="C79" i="3"/>
  <c r="B79" i="3" s="1"/>
  <c r="E79" i="3" s="1"/>
  <c r="C80" i="3"/>
  <c r="K80" i="3" s="1" a="1"/>
  <c r="K80" i="3" s="1"/>
  <c r="C76" i="3"/>
  <c r="B76" i="3" s="1"/>
  <c r="E76" i="3" s="1"/>
  <c r="R18" i="2" a="1"/>
  <c r="R18" i="2" s="1"/>
  <c r="R19" i="2" a="1"/>
  <c r="R19" i="2" s="1"/>
  <c r="R20" i="2" a="1"/>
  <c r="R20" i="2" s="1"/>
  <c r="R21" i="2" a="1"/>
  <c r="R21" i="2" s="1"/>
  <c r="R22" i="2" a="1"/>
  <c r="R22" i="2" s="1"/>
  <c r="R25" i="2" a="1"/>
  <c r="R25" i="2" s="1"/>
  <c r="R26" i="2" a="1"/>
  <c r="R26" i="2" s="1"/>
  <c r="R27" i="2" a="1"/>
  <c r="R27" i="2" s="1"/>
  <c r="R28" i="2" a="1"/>
  <c r="R28" i="2" s="1"/>
  <c r="R29" i="2" a="1"/>
  <c r="R29" i="2" s="1"/>
  <c r="R32" i="2" a="1"/>
  <c r="R32" i="2" s="1"/>
  <c r="R33" i="2" a="1"/>
  <c r="R33" i="2" s="1"/>
  <c r="R34" i="2" a="1"/>
  <c r="R34" i="2" s="1"/>
  <c r="R35" i="2" a="1"/>
  <c r="R35" i="2" s="1"/>
  <c r="R36" i="2" a="1"/>
  <c r="R36" i="2" s="1"/>
  <c r="R39" i="2" a="1"/>
  <c r="R39" i="2" s="1"/>
  <c r="R40" i="2" a="1"/>
  <c r="R40" i="2" s="1"/>
  <c r="R41" i="2" a="1"/>
  <c r="R41" i="2" s="1"/>
  <c r="R42" i="2" a="1"/>
  <c r="R42" i="2" s="1"/>
  <c r="R43" i="2" a="1"/>
  <c r="R43" i="2" s="1"/>
  <c r="R46" i="2" a="1"/>
  <c r="R46" i="2" s="1"/>
  <c r="R47" i="2" a="1"/>
  <c r="R47" i="2" s="1"/>
  <c r="R48" i="2" a="1"/>
  <c r="R48" i="2" s="1"/>
  <c r="R49" i="2" a="1"/>
  <c r="R49" i="2" s="1"/>
  <c r="R50" i="2" a="1"/>
  <c r="R50" i="2" s="1"/>
  <c r="R53" i="2" a="1"/>
  <c r="R53" i="2" s="1"/>
  <c r="R54" i="2" a="1"/>
  <c r="R54" i="2" s="1"/>
  <c r="R55" i="2" a="1"/>
  <c r="R55" i="2" s="1"/>
  <c r="R56" i="2" a="1"/>
  <c r="R56" i="2" s="1"/>
  <c r="R57" i="2" a="1"/>
  <c r="R57" i="2" s="1"/>
  <c r="R60" i="2" a="1"/>
  <c r="R60" i="2" s="1"/>
  <c r="R61" i="2" a="1"/>
  <c r="R61" i="2" s="1"/>
  <c r="R62" i="2" a="1"/>
  <c r="R62" i="2" s="1"/>
  <c r="R63" i="2" a="1"/>
  <c r="R63" i="2" s="1"/>
  <c r="R64" i="2" a="1"/>
  <c r="R64" i="2" s="1"/>
  <c r="R67" i="2" a="1"/>
  <c r="R67" i="2" s="1"/>
  <c r="R68" i="2" a="1"/>
  <c r="R68" i="2" s="1"/>
  <c r="R69" i="2" a="1"/>
  <c r="R69" i="2" s="1"/>
  <c r="R70" i="2" a="1"/>
  <c r="R70" i="2" s="1"/>
  <c r="R71" i="2" a="1"/>
  <c r="R71" i="2" s="1"/>
  <c r="R74" i="2" a="1"/>
  <c r="R74" i="2" s="1"/>
  <c r="R75" i="2" a="1"/>
  <c r="R75" i="2" s="1"/>
  <c r="R76" i="2" a="1"/>
  <c r="R76" i="2" s="1"/>
  <c r="R77" i="2" a="1"/>
  <c r="R77" i="2" s="1"/>
  <c r="R78" i="2" a="1"/>
  <c r="R78" i="2" s="1"/>
  <c r="R81" i="2" a="1"/>
  <c r="R81" i="2" s="1"/>
  <c r="R82" i="2" a="1"/>
  <c r="R82" i="2" s="1"/>
  <c r="R83" i="2" a="1"/>
  <c r="R83" i="2" s="1"/>
  <c r="R84" i="2" a="1"/>
  <c r="R84" i="2" s="1"/>
  <c r="R85" i="2" a="1"/>
  <c r="R85" i="2" s="1"/>
  <c r="R88" i="2" a="1"/>
  <c r="R88" i="2" s="1"/>
  <c r="R89" i="2" a="1"/>
  <c r="R89" i="2" s="1"/>
  <c r="R90" i="2" a="1"/>
  <c r="R90" i="2" s="1"/>
  <c r="R91" i="2" a="1"/>
  <c r="R91" i="2" s="1"/>
  <c r="R92" i="2" a="1"/>
  <c r="R92" i="2" s="1"/>
  <c r="Q93" i="2" a="1"/>
  <c r="Q93" i="2" s="1"/>
  <c r="R15" i="2" a="1"/>
  <c r="R15" i="2" s="1"/>
  <c r="R14" i="2" a="1"/>
  <c r="R14" i="2" s="1"/>
  <c r="R13" i="2" a="1"/>
  <c r="R13" i="2" s="1"/>
  <c r="R12" i="2" a="1"/>
  <c r="R12" i="2" s="1"/>
  <c r="R11" i="2" a="1"/>
  <c r="R11" i="2" s="1"/>
  <c r="X56" i="3" a="1"/>
  <c r="X56" i="3" s="1"/>
  <c r="R5" i="2" a="1"/>
  <c r="R5" i="2" s="1"/>
  <c r="R6" i="2" a="1"/>
  <c r="R6" i="2" s="1"/>
  <c r="R7" i="2" a="1"/>
  <c r="R7" i="2" s="1"/>
  <c r="R8" i="2" a="1"/>
  <c r="R8" i="2" s="1"/>
  <c r="R4" i="2" a="1"/>
  <c r="R4" i="2" s="1"/>
  <c r="F4" i="3" a="1"/>
  <c r="E11" i="9" l="1"/>
  <c r="Q67" i="2" s="1" a="1"/>
  <c r="Q67" i="2" s="1"/>
  <c r="Q25" i="2" a="1"/>
  <c r="Q25" i="2" s="1"/>
  <c r="E12" i="9"/>
  <c r="E23" i="9"/>
  <c r="E14" i="9"/>
  <c r="Q71" i="2" s="1" a="1"/>
  <c r="Q71" i="2" s="1"/>
  <c r="E24" i="9"/>
  <c r="E15" i="9"/>
  <c r="E25" i="9"/>
  <c r="E8" i="9"/>
  <c r="E19" i="9"/>
  <c r="E9" i="9"/>
  <c r="Q15" i="2" s="1" a="1"/>
  <c r="Q15" i="2" s="1"/>
  <c r="E20" i="9"/>
  <c r="E17" i="9"/>
  <c r="E26" i="9"/>
  <c r="E10" i="9"/>
  <c r="E21" i="9"/>
  <c r="E4" i="9"/>
  <c r="E27" i="9"/>
  <c r="E6" i="9"/>
  <c r="E28" i="9"/>
  <c r="C38" i="1"/>
  <c r="R139" i="3"/>
  <c r="Q134" i="3"/>
  <c r="R134" i="3"/>
  <c r="Q140" i="3"/>
  <c r="Q139" i="3"/>
  <c r="R140" i="3"/>
  <c r="U76" i="3" a="1"/>
  <c r="U76" i="3" s="1"/>
  <c r="V75" i="3" s="1" a="1"/>
  <c r="V75" i="3" s="1"/>
  <c r="V13" i="2"/>
  <c r="K140" i="3" a="1"/>
  <c r="K140" i="3" s="1"/>
  <c r="K133" i="3" a="1"/>
  <c r="K133" i="3" s="1"/>
  <c r="K95" i="3" a="1"/>
  <c r="K95" i="3" s="1"/>
  <c r="K139" i="3" a="1"/>
  <c r="K139" i="3" s="1"/>
  <c r="K132" i="3" a="1"/>
  <c r="K132" i="3" s="1"/>
  <c r="K107" i="3" a="1"/>
  <c r="K107" i="3" s="1"/>
  <c r="K100" i="3" a="1"/>
  <c r="K100" i="3" s="1"/>
  <c r="K81" i="3" a="1"/>
  <c r="K81" i="3" s="1"/>
  <c r="K138" i="3" a="1"/>
  <c r="K138" i="3" s="1"/>
  <c r="K137" i="3" a="1"/>
  <c r="K137" i="3" s="1"/>
  <c r="K131" i="3" a="1"/>
  <c r="K131" i="3" s="1"/>
  <c r="K99" i="3" a="1"/>
  <c r="K99" i="3" s="1"/>
  <c r="K92" i="3" a="1"/>
  <c r="K92" i="3" s="1"/>
  <c r="K136" i="3" a="1"/>
  <c r="K136" i="3" s="1"/>
  <c r="K130" i="3" a="1"/>
  <c r="K130" i="3" s="1"/>
  <c r="K79" i="3" a="1"/>
  <c r="K79" i="3" s="1"/>
  <c r="K116" i="3" a="1"/>
  <c r="K116" i="3" s="1"/>
  <c r="K78" i="3" a="1"/>
  <c r="K78" i="3" s="1"/>
  <c r="K77" i="3" a="1"/>
  <c r="K77" i="3" s="1"/>
  <c r="K134" i="3" a="1"/>
  <c r="K134" i="3" s="1"/>
  <c r="K115" i="3" a="1"/>
  <c r="K115" i="3" s="1"/>
  <c r="K108" i="3" a="1"/>
  <c r="K108" i="3" s="1"/>
  <c r="K76" i="3" a="1"/>
  <c r="K76" i="3" s="1"/>
  <c r="M135" i="3"/>
  <c r="L135" i="3"/>
  <c r="N131" i="3"/>
  <c r="O137" i="3"/>
  <c r="O136" i="3"/>
  <c r="O134" i="3"/>
  <c r="N140" i="3"/>
  <c r="M138" i="3"/>
  <c r="M140" i="3"/>
  <c r="M134" i="3"/>
  <c r="O135" i="3"/>
  <c r="L138" i="3"/>
  <c r="O133" i="3"/>
  <c r="N137" i="3"/>
  <c r="O140" i="3"/>
  <c r="O132" i="3"/>
  <c r="L137" i="3"/>
  <c r="O139" i="3"/>
  <c r="O131" i="3"/>
  <c r="N135" i="3"/>
  <c r="O138" i="3"/>
  <c r="O130" i="3"/>
  <c r="N132" i="3"/>
  <c r="L130" i="3"/>
  <c r="M132" i="3"/>
  <c r="L140" i="3"/>
  <c r="N134" i="3"/>
  <c r="L132" i="3"/>
  <c r="M139" i="3"/>
  <c r="N136" i="3"/>
  <c r="L134" i="3"/>
  <c r="M131" i="3"/>
  <c r="L139" i="3"/>
  <c r="M136" i="3"/>
  <c r="N133" i="3"/>
  <c r="L131" i="3"/>
  <c r="N139" i="3"/>
  <c r="M133" i="3"/>
  <c r="N130" i="3"/>
  <c r="L133" i="3"/>
  <c r="F107" i="3"/>
  <c r="P107" i="3" s="1"/>
  <c r="F115" i="3"/>
  <c r="P115" i="3" s="1"/>
  <c r="G99" i="3"/>
  <c r="H99" i="3" s="1"/>
  <c r="B132" i="3"/>
  <c r="G116" i="3"/>
  <c r="H116" i="3" s="1"/>
  <c r="F108" i="3"/>
  <c r="P108" i="3" s="1"/>
  <c r="G92" i="3"/>
  <c r="H92" i="3" s="1"/>
  <c r="F100" i="3"/>
  <c r="P100" i="3" s="1"/>
  <c r="B124" i="3"/>
  <c r="B84" i="3"/>
  <c r="B133" i="3"/>
  <c r="B125" i="3"/>
  <c r="B117" i="3"/>
  <c r="B109" i="3"/>
  <c r="B101" i="3"/>
  <c r="B93" i="3"/>
  <c r="B85" i="3"/>
  <c r="B131" i="3"/>
  <c r="B83" i="3"/>
  <c r="B138" i="3"/>
  <c r="B130" i="3"/>
  <c r="B122" i="3"/>
  <c r="B114" i="3"/>
  <c r="B106" i="3"/>
  <c r="B98" i="3"/>
  <c r="B90" i="3"/>
  <c r="B82" i="3"/>
  <c r="B137" i="3"/>
  <c r="B129" i="3"/>
  <c r="B121" i="3"/>
  <c r="B113" i="3"/>
  <c r="B105" i="3"/>
  <c r="B97" i="3"/>
  <c r="B89" i="3"/>
  <c r="B123" i="3"/>
  <c r="B91" i="3"/>
  <c r="B136" i="3"/>
  <c r="B128" i="3"/>
  <c r="B120" i="3"/>
  <c r="B112" i="3"/>
  <c r="B104" i="3"/>
  <c r="B96" i="3"/>
  <c r="B88" i="3"/>
  <c r="B80" i="3"/>
  <c r="B135" i="3"/>
  <c r="B127" i="3"/>
  <c r="B119" i="3"/>
  <c r="B111" i="3"/>
  <c r="B103" i="3"/>
  <c r="B87" i="3"/>
  <c r="B126" i="3"/>
  <c r="B118" i="3"/>
  <c r="B110" i="3"/>
  <c r="B102" i="3"/>
  <c r="B94" i="3"/>
  <c r="B86" i="3"/>
  <c r="F81" i="3"/>
  <c r="P81" i="3" s="1"/>
  <c r="F78" i="3"/>
  <c r="P78" i="3" s="1"/>
  <c r="F77" i="3"/>
  <c r="P77" i="3" s="1"/>
  <c r="J129" i="3"/>
  <c r="J125" i="3"/>
  <c r="J121" i="3"/>
  <c r="J117" i="3"/>
  <c r="J113" i="3"/>
  <c r="J109" i="3"/>
  <c r="J105" i="3"/>
  <c r="J101" i="3"/>
  <c r="J97" i="3"/>
  <c r="J92" i="3"/>
  <c r="J88" i="3"/>
  <c r="J84" i="3"/>
  <c r="J80" i="3"/>
  <c r="J128" i="3"/>
  <c r="J124" i="3"/>
  <c r="J120" i="3"/>
  <c r="J116" i="3"/>
  <c r="J112" i="3"/>
  <c r="J108" i="3"/>
  <c r="J104" i="3"/>
  <c r="J100" i="3"/>
  <c r="J96" i="3"/>
  <c r="J91" i="3"/>
  <c r="J87" i="3"/>
  <c r="J83" i="3"/>
  <c r="J79" i="3"/>
  <c r="J127" i="3"/>
  <c r="J123" i="3"/>
  <c r="J119" i="3"/>
  <c r="J115" i="3"/>
  <c r="J111" i="3"/>
  <c r="J107" i="3"/>
  <c r="J103" i="3"/>
  <c r="J99" i="3"/>
  <c r="J94" i="3"/>
  <c r="J90" i="3"/>
  <c r="J86" i="3"/>
  <c r="J82" i="3"/>
  <c r="J78" i="3"/>
  <c r="J76" i="3"/>
  <c r="J126" i="3"/>
  <c r="J122" i="3"/>
  <c r="J118" i="3"/>
  <c r="J114" i="3"/>
  <c r="J110" i="3"/>
  <c r="J106" i="3"/>
  <c r="J102" i="3"/>
  <c r="J98" i="3"/>
  <c r="J93" i="3"/>
  <c r="J89" i="3"/>
  <c r="J85" i="3"/>
  <c r="J81" i="3"/>
  <c r="J77" i="3"/>
  <c r="J95" i="3"/>
  <c r="J130" i="3"/>
  <c r="J140" i="3"/>
  <c r="J139" i="3"/>
  <c r="J138" i="3"/>
  <c r="J137" i="3"/>
  <c r="G140" i="3"/>
  <c r="H140" i="3" s="1"/>
  <c r="J136" i="3"/>
  <c r="J135" i="3"/>
  <c r="G134" i="3"/>
  <c r="H134" i="3" s="1"/>
  <c r="J134" i="3"/>
  <c r="F4" i="3"/>
  <c r="D129" i="3"/>
  <c r="D121" i="3"/>
  <c r="D113" i="3"/>
  <c r="D105" i="3"/>
  <c r="D97" i="3"/>
  <c r="D89" i="3"/>
  <c r="D81" i="3"/>
  <c r="Q8" i="2" a="1"/>
  <c r="Q8" i="2" s="1"/>
  <c r="Q88" i="2" a="1"/>
  <c r="Q88" i="2" s="1"/>
  <c r="Q64" i="2" a="1"/>
  <c r="Q64" i="2" s="1"/>
  <c r="D128" i="3"/>
  <c r="D120" i="3"/>
  <c r="D112" i="3"/>
  <c r="D104" i="3"/>
  <c r="D96" i="3"/>
  <c r="D88" i="3"/>
  <c r="D80" i="3"/>
  <c r="D127" i="3"/>
  <c r="D119" i="3"/>
  <c r="D111" i="3"/>
  <c r="D103" i="3"/>
  <c r="D95" i="3"/>
  <c r="D87" i="3"/>
  <c r="D79" i="3"/>
  <c r="Q78" i="2" a="1"/>
  <c r="Q78" i="2" s="1"/>
  <c r="E16" i="9"/>
  <c r="D126" i="3"/>
  <c r="D118" i="3"/>
  <c r="D110" i="3"/>
  <c r="D102" i="3"/>
  <c r="D94" i="3"/>
  <c r="D86" i="3"/>
  <c r="D78" i="3"/>
  <c r="Q5" i="2" a="1"/>
  <c r="Q5" i="2" s="1"/>
  <c r="Q85" i="2" a="1"/>
  <c r="Q85" i="2" s="1"/>
  <c r="Q69" i="2" a="1"/>
  <c r="Q69" i="2" s="1"/>
  <c r="Q29" i="2" a="1"/>
  <c r="Q29" i="2" s="1"/>
  <c r="D125" i="3"/>
  <c r="D117" i="3"/>
  <c r="D109" i="3"/>
  <c r="D101" i="3"/>
  <c r="D93" i="3"/>
  <c r="D85" i="3"/>
  <c r="D77" i="3"/>
  <c r="Q92" i="2" a="1"/>
  <c r="Q92" i="2" s="1"/>
  <c r="Q84" i="2" a="1"/>
  <c r="Q84" i="2" s="1"/>
  <c r="D140" i="3"/>
  <c r="D124" i="3"/>
  <c r="D116" i="3"/>
  <c r="D108" i="3"/>
  <c r="D100" i="3"/>
  <c r="D92" i="3"/>
  <c r="D84" i="3"/>
  <c r="D76" i="3"/>
  <c r="Q91" i="2" a="1"/>
  <c r="Q91" i="2" s="1"/>
  <c r="Q83" i="2" a="1"/>
  <c r="Q83" i="2" s="1"/>
  <c r="Q35" i="2" a="1"/>
  <c r="Q35" i="2" s="1"/>
  <c r="Q11" i="2" a="1"/>
  <c r="Q11" i="2" s="1"/>
  <c r="D131" i="3"/>
  <c r="D123" i="3"/>
  <c r="D115" i="3"/>
  <c r="D107" i="3"/>
  <c r="D99" i="3"/>
  <c r="D91" i="3"/>
  <c r="D83" i="3"/>
  <c r="Q90" i="2" a="1"/>
  <c r="Q90" i="2" s="1"/>
  <c r="Q82" i="2" a="1"/>
  <c r="Q82" i="2" s="1"/>
  <c r="Q74" i="2" a="1"/>
  <c r="Q74" i="2" s="1"/>
  <c r="D130" i="3"/>
  <c r="D122" i="3"/>
  <c r="D114" i="3"/>
  <c r="D106" i="3"/>
  <c r="D98" i="3"/>
  <c r="D90" i="3"/>
  <c r="D82" i="3"/>
  <c r="Q89" i="2" a="1"/>
  <c r="Q89" i="2" s="1"/>
  <c r="D139" i="3"/>
  <c r="D138" i="3"/>
  <c r="D137" i="3"/>
  <c r="D136" i="3"/>
  <c r="D135" i="3"/>
  <c r="D134" i="3"/>
  <c r="D133" i="3"/>
  <c r="D132" i="3"/>
  <c r="P4" i="8"/>
  <c r="P8" i="8"/>
  <c r="P12" i="8"/>
  <c r="P16" i="8"/>
  <c r="P20" i="8"/>
  <c r="P24" i="8"/>
  <c r="R4" i="8"/>
  <c r="R8" i="8"/>
  <c r="R12" i="8"/>
  <c r="R16" i="8"/>
  <c r="R20" i="8"/>
  <c r="R24" i="8"/>
  <c r="P9" i="8"/>
  <c r="P13" i="8"/>
  <c r="P17" i="8"/>
  <c r="P21" i="8"/>
  <c r="P25" i="8"/>
  <c r="R5" i="8"/>
  <c r="R9" i="8"/>
  <c r="R13" i="8"/>
  <c r="R17" i="8"/>
  <c r="R21" i="8"/>
  <c r="R25" i="8"/>
  <c r="P5" i="8"/>
  <c r="P6" i="8"/>
  <c r="P10" i="8"/>
  <c r="P14" i="8"/>
  <c r="P18" i="8"/>
  <c r="P22" i="8"/>
  <c r="P26" i="8"/>
  <c r="Q3" i="8"/>
  <c r="R6" i="8"/>
  <c r="R10" i="8"/>
  <c r="R14" i="8"/>
  <c r="R18" i="8"/>
  <c r="R22" i="8"/>
  <c r="R26" i="8"/>
  <c r="P7" i="8"/>
  <c r="P11" i="8"/>
  <c r="P15" i="8"/>
  <c r="P19" i="8"/>
  <c r="P23" i="8"/>
  <c r="P27" i="8"/>
  <c r="R7" i="8"/>
  <c r="R11" i="8"/>
  <c r="R15" i="8"/>
  <c r="R19" i="8"/>
  <c r="R23" i="8"/>
  <c r="E5" i="9"/>
  <c r="E13" i="9"/>
  <c r="F92" i="3"/>
  <c r="P92" i="3" s="1"/>
  <c r="F140" i="3"/>
  <c r="P140" i="3" s="1"/>
  <c r="F116" i="3"/>
  <c r="P116" i="3" s="1"/>
  <c r="F99" i="3"/>
  <c r="P99" i="3" s="1"/>
  <c r="G115" i="3"/>
  <c r="H115" i="3" s="1"/>
  <c r="G139" i="3"/>
  <c r="H139" i="3" s="1"/>
  <c r="G108" i="3"/>
  <c r="H108" i="3" s="1"/>
  <c r="G95" i="3"/>
  <c r="H95" i="3" s="1"/>
  <c r="G81" i="3"/>
  <c r="G78" i="3"/>
  <c r="H78" i="3" s="1"/>
  <c r="F76" i="3"/>
  <c r="P76" i="3" s="1"/>
  <c r="F139" i="3"/>
  <c r="P139" i="3" s="1"/>
  <c r="F95" i="3"/>
  <c r="P95" i="3" s="1"/>
  <c r="G76" i="3"/>
  <c r="G107" i="3"/>
  <c r="H107" i="3" s="1"/>
  <c r="G77" i="3"/>
  <c r="H77" i="3" s="1"/>
  <c r="G79" i="3"/>
  <c r="H79" i="3" s="1"/>
  <c r="G100" i="3"/>
  <c r="H100" i="3" s="1"/>
  <c r="F79" i="3"/>
  <c r="P79" i="3" s="1"/>
  <c r="Q40" i="2" l="1" a="1"/>
  <c r="Q40" i="2" s="1"/>
  <c r="Q70" i="2" a="1"/>
  <c r="Q70" i="2" s="1"/>
  <c r="Q43" i="2" a="1"/>
  <c r="Q43" i="2" s="1"/>
  <c r="Q22" i="2" a="1"/>
  <c r="Q22" i="2" s="1"/>
  <c r="Q60" i="2" a="1"/>
  <c r="Q60" i="2" s="1"/>
  <c r="Q6" i="2" a="1"/>
  <c r="Q6" i="2" s="1"/>
  <c r="Q19" i="2" a="1"/>
  <c r="Q19" i="2" s="1"/>
  <c r="Q49" i="2" a="1"/>
  <c r="Q49" i="2" s="1"/>
  <c r="Q13" i="2" a="1"/>
  <c r="Q13" i="2" s="1"/>
  <c r="Q36" i="2" a="1"/>
  <c r="Q36" i="2" s="1"/>
  <c r="Q63" i="2" a="1"/>
  <c r="Q63" i="2" s="1"/>
  <c r="Q42" i="2" a="1"/>
  <c r="Q42" i="2" s="1"/>
  <c r="I6" i="4" a="1"/>
  <c r="I6" i="4" s="1"/>
  <c r="Q14" i="2" a="1"/>
  <c r="Q14" i="2" s="1"/>
  <c r="Q26" i="2" a="1"/>
  <c r="Q26" i="2" s="1"/>
  <c r="Q18" i="2" a="1"/>
  <c r="Q18" i="2" s="1"/>
  <c r="Q62" i="2" a="1"/>
  <c r="Q62" i="2" s="1"/>
  <c r="Q20" i="2" a="1"/>
  <c r="Q20" i="2" s="1"/>
  <c r="Q4" i="2" a="1"/>
  <c r="Q4" i="2" s="1"/>
  <c r="Q48" i="2" a="1"/>
  <c r="Q48" i="2" s="1"/>
  <c r="Q7" i="2" a="1"/>
  <c r="Q7" i="2" s="1"/>
  <c r="Q50" i="2" a="1"/>
  <c r="Q50" i="2" s="1"/>
  <c r="Q76" i="2" a="1"/>
  <c r="Q76" i="2" s="1"/>
  <c r="Q41" i="2" a="1"/>
  <c r="Q41" i="2" s="1"/>
  <c r="Q46" i="2" a="1"/>
  <c r="Q46" i="2" s="1"/>
  <c r="Q77" i="2" a="1"/>
  <c r="Q77" i="2" s="1"/>
  <c r="Q32" i="2" a="1"/>
  <c r="Q32" i="2" s="1"/>
  <c r="Q21" i="2" a="1"/>
  <c r="Q21" i="2" s="1"/>
  <c r="Q55" i="2" a="1"/>
  <c r="Q55" i="2" s="1"/>
  <c r="Q28" i="2" a="1"/>
  <c r="Q28" i="2" s="1"/>
  <c r="R95" i="3"/>
  <c r="Q95" i="3"/>
  <c r="Q78" i="3"/>
  <c r="Q108" i="3"/>
  <c r="Q100" i="3"/>
  <c r="Q76" i="3"/>
  <c r="Q115" i="3"/>
  <c r="R77" i="3"/>
  <c r="Q107" i="3"/>
  <c r="B141" i="3"/>
  <c r="R108" i="3"/>
  <c r="R100" i="3"/>
  <c r="Q77" i="3"/>
  <c r="R99" i="3"/>
  <c r="R78" i="3"/>
  <c r="Q99" i="3"/>
  <c r="Q79" i="3"/>
  <c r="Q92" i="3"/>
  <c r="R116" i="3"/>
  <c r="Q116" i="3"/>
  <c r="R76" i="3"/>
  <c r="R79" i="3"/>
  <c r="R81" i="3"/>
  <c r="R115" i="3"/>
  <c r="R107" i="3"/>
  <c r="R92" i="3"/>
  <c r="E126" i="3"/>
  <c r="F126" i="3" s="1"/>
  <c r="P126" i="3" s="1"/>
  <c r="R126" i="3" s="1"/>
  <c r="E88" i="3"/>
  <c r="F88" i="3" s="1"/>
  <c r="P88" i="3" s="1"/>
  <c r="R88" i="3" s="1"/>
  <c r="E123" i="3"/>
  <c r="F123" i="3" s="1"/>
  <c r="P123" i="3" s="1"/>
  <c r="Q123" i="3" s="1"/>
  <c r="E82" i="3"/>
  <c r="G82" i="3" s="1"/>
  <c r="H82" i="3" s="1"/>
  <c r="E83" i="3"/>
  <c r="F83" i="3" s="1"/>
  <c r="P83" i="3" s="1"/>
  <c r="Q83" i="3" s="1"/>
  <c r="E133" i="3"/>
  <c r="F133" i="3" s="1"/>
  <c r="P133" i="3" s="1"/>
  <c r="R133" i="3"/>
  <c r="Q133" i="3"/>
  <c r="E87" i="3"/>
  <c r="F87" i="3" s="1"/>
  <c r="P87" i="3" s="1"/>
  <c r="R87" i="3" s="1"/>
  <c r="E96" i="3"/>
  <c r="F96" i="3" s="1"/>
  <c r="P96" i="3" s="1"/>
  <c r="Q96" i="3" s="1"/>
  <c r="E89" i="3"/>
  <c r="G89" i="3" s="1"/>
  <c r="H89" i="3" s="1"/>
  <c r="E90" i="3"/>
  <c r="F90" i="3" s="1"/>
  <c r="P90" i="3" s="1"/>
  <c r="R90" i="3" s="1"/>
  <c r="E131" i="3"/>
  <c r="F131" i="3" s="1"/>
  <c r="P131" i="3" s="1"/>
  <c r="Q131" i="3"/>
  <c r="R131" i="3"/>
  <c r="E84" i="3"/>
  <c r="F84" i="3" s="1"/>
  <c r="P84" i="3" s="1"/>
  <c r="R84" i="3" s="1"/>
  <c r="E86" i="3"/>
  <c r="G86" i="3" s="1"/>
  <c r="H86" i="3" s="1"/>
  <c r="E111" i="3"/>
  <c r="G111" i="3" s="1"/>
  <c r="H111" i="3" s="1"/>
  <c r="E112" i="3"/>
  <c r="F112" i="3" s="1"/>
  <c r="P112" i="3" s="1"/>
  <c r="R112" i="3" s="1"/>
  <c r="E105" i="3"/>
  <c r="F105" i="3" s="1"/>
  <c r="P105" i="3" s="1"/>
  <c r="R105" i="3" s="1"/>
  <c r="E106" i="3"/>
  <c r="F106" i="3" s="1"/>
  <c r="P106" i="3" s="1"/>
  <c r="Q106" i="3" s="1"/>
  <c r="E93" i="3"/>
  <c r="F93" i="3" s="1"/>
  <c r="P93" i="3" s="1"/>
  <c r="R93" i="3" s="1"/>
  <c r="Q81" i="3"/>
  <c r="E94" i="3"/>
  <c r="G94" i="3" s="1"/>
  <c r="H94" i="3" s="1"/>
  <c r="E119" i="3"/>
  <c r="G119" i="3" s="1"/>
  <c r="H119" i="3" s="1"/>
  <c r="E120" i="3"/>
  <c r="F120" i="3" s="1"/>
  <c r="P120" i="3" s="1"/>
  <c r="Q120" i="3" s="1"/>
  <c r="E113" i="3"/>
  <c r="F113" i="3" s="1"/>
  <c r="P113" i="3" s="1"/>
  <c r="Q113" i="3" s="1"/>
  <c r="E114" i="3"/>
  <c r="F114" i="3" s="1"/>
  <c r="P114" i="3" s="1"/>
  <c r="R114" i="3" s="1"/>
  <c r="E101" i="3"/>
  <c r="F101" i="3" s="1"/>
  <c r="P101" i="3" s="1"/>
  <c r="R101" i="3" s="1"/>
  <c r="E103" i="3"/>
  <c r="G103" i="3" s="1"/>
  <c r="H103" i="3" s="1"/>
  <c r="E104" i="3"/>
  <c r="F104" i="3" s="1"/>
  <c r="P104" i="3" s="1"/>
  <c r="R104" i="3" s="1"/>
  <c r="E97" i="3"/>
  <c r="F97" i="3" s="1"/>
  <c r="P97" i="3" s="1"/>
  <c r="R97" i="3" s="1"/>
  <c r="E98" i="3"/>
  <c r="F98" i="3" s="1"/>
  <c r="P98" i="3" s="1"/>
  <c r="R98" i="3" s="1"/>
  <c r="E85" i="3"/>
  <c r="F85" i="3" s="1"/>
  <c r="P85" i="3" s="1"/>
  <c r="Q85" i="3" s="1"/>
  <c r="E124" i="3"/>
  <c r="F124" i="3" s="1"/>
  <c r="P124" i="3" s="1"/>
  <c r="R124" i="3" s="1"/>
  <c r="E102" i="3"/>
  <c r="G102" i="3" s="1"/>
  <c r="H102" i="3" s="1"/>
  <c r="E127" i="3"/>
  <c r="F127" i="3" s="1"/>
  <c r="P127" i="3" s="1"/>
  <c r="R127" i="3" s="1"/>
  <c r="E128" i="3"/>
  <c r="F128" i="3" s="1"/>
  <c r="P128" i="3" s="1"/>
  <c r="R128" i="3" s="1"/>
  <c r="E121" i="3"/>
  <c r="F121" i="3" s="1"/>
  <c r="P121" i="3" s="1"/>
  <c r="R121" i="3" s="1"/>
  <c r="E122" i="3"/>
  <c r="F122" i="3" s="1"/>
  <c r="P122" i="3" s="1"/>
  <c r="Q122" i="3" s="1"/>
  <c r="E109" i="3"/>
  <c r="G109" i="3" s="1"/>
  <c r="H109" i="3" s="1"/>
  <c r="E110" i="3"/>
  <c r="F110" i="3" s="1"/>
  <c r="P110" i="3" s="1"/>
  <c r="Q110" i="3" s="1"/>
  <c r="E135" i="3"/>
  <c r="F135" i="3" s="1"/>
  <c r="P135" i="3" s="1"/>
  <c r="R135" i="3"/>
  <c r="Q135" i="3"/>
  <c r="E136" i="3"/>
  <c r="G136" i="3" s="1"/>
  <c r="H136" i="3" s="1"/>
  <c r="R136" i="3"/>
  <c r="Q136" i="3"/>
  <c r="E129" i="3"/>
  <c r="F129" i="3" s="1"/>
  <c r="P129" i="3" s="1"/>
  <c r="Q129" i="3" s="1"/>
  <c r="E130" i="3"/>
  <c r="F130" i="3" s="1"/>
  <c r="P130" i="3" s="1"/>
  <c r="R130" i="3"/>
  <c r="Q130" i="3"/>
  <c r="E117" i="3"/>
  <c r="F117" i="3" s="1"/>
  <c r="P117" i="3" s="1"/>
  <c r="R117" i="3" s="1"/>
  <c r="E118" i="3"/>
  <c r="F118" i="3" s="1"/>
  <c r="P118" i="3" s="1"/>
  <c r="R118" i="3" s="1"/>
  <c r="E80" i="3"/>
  <c r="E91" i="3"/>
  <c r="G91" i="3" s="1"/>
  <c r="H91" i="3" s="1"/>
  <c r="E137" i="3"/>
  <c r="F137" i="3" s="1"/>
  <c r="P137" i="3" s="1"/>
  <c r="Q137" i="3"/>
  <c r="R137" i="3"/>
  <c r="E138" i="3"/>
  <c r="G138" i="3" s="1"/>
  <c r="H138" i="3" s="1"/>
  <c r="R138" i="3"/>
  <c r="Q138" i="3"/>
  <c r="E125" i="3"/>
  <c r="F125" i="3" s="1"/>
  <c r="P125" i="3" s="1"/>
  <c r="R125" i="3" s="1"/>
  <c r="E132" i="3"/>
  <c r="G132" i="3" s="1"/>
  <c r="R132" i="3"/>
  <c r="Q132" i="3"/>
  <c r="H81" i="3"/>
  <c r="I81" i="3" s="1"/>
  <c r="I108" i="3"/>
  <c r="I115" i="3"/>
  <c r="I77" i="3"/>
  <c r="I78" i="3"/>
  <c r="I107" i="3"/>
  <c r="I92" i="3"/>
  <c r="I100" i="3"/>
  <c r="I116" i="3"/>
  <c r="I99" i="3"/>
  <c r="I139" i="3"/>
  <c r="I95" i="3"/>
  <c r="F134" i="3"/>
  <c r="Q54" i="2" a="1"/>
  <c r="Q54" i="2" s="1"/>
  <c r="Q57" i="2" a="1"/>
  <c r="Q57" i="2" s="1"/>
  <c r="Q27" i="2" a="1"/>
  <c r="Q27" i="2" s="1"/>
  <c r="Q47" i="2" a="1"/>
  <c r="Q47" i="2" s="1"/>
  <c r="Q56" i="2" a="1"/>
  <c r="Q56" i="2" s="1"/>
  <c r="Q33" i="2" a="1"/>
  <c r="Q33" i="2" s="1"/>
  <c r="Q34" i="2" a="1"/>
  <c r="Q34" i="2" s="1"/>
  <c r="Q75" i="2" a="1"/>
  <c r="Q75" i="2" s="1"/>
  <c r="Q12" i="2" a="1"/>
  <c r="Q12" i="2" s="1"/>
  <c r="Q68" i="2" a="1"/>
  <c r="Q68" i="2" s="1"/>
  <c r="Q53" i="2" a="1"/>
  <c r="Q53" i="2" s="1"/>
  <c r="Q61" i="2" a="1"/>
  <c r="Q61" i="2" s="1"/>
  <c r="Q39" i="2" a="1"/>
  <c r="Q39" i="2" s="1"/>
  <c r="I140" i="3"/>
  <c r="H76" i="3"/>
  <c r="I76" i="3" s="1"/>
  <c r="R3" i="8"/>
  <c r="P3" i="8"/>
  <c r="I79" i="3"/>
  <c r="Y56" i="3" a="1"/>
  <c r="Y56" i="3" s="1"/>
  <c r="C55" i="3" a="1"/>
  <c r="C55" i="3" s="1"/>
  <c r="G90" i="3" l="1"/>
  <c r="H90" i="3" s="1"/>
  <c r="I90" i="3" s="1"/>
  <c r="G106" i="3"/>
  <c r="H106" i="3" s="1"/>
  <c r="I106" i="3" s="1"/>
  <c r="G105" i="3"/>
  <c r="H105" i="3" s="1"/>
  <c r="I105" i="3" s="1"/>
  <c r="G114" i="3"/>
  <c r="H114" i="3" s="1"/>
  <c r="I114" i="3" s="1"/>
  <c r="G133" i="3"/>
  <c r="H133" i="3" s="1"/>
  <c r="I133" i="3" s="1"/>
  <c r="F102" i="3"/>
  <c r="I102" i="3" s="1"/>
  <c r="AG56" i="3" a="1"/>
  <c r="AG56" i="3" s="1"/>
  <c r="F80" i="3"/>
  <c r="P80" i="3" s="1"/>
  <c r="R80" i="3" s="1"/>
  <c r="G97" i="3"/>
  <c r="H97" i="3" s="1"/>
  <c r="I97" i="3" s="1"/>
  <c r="G135" i="3"/>
  <c r="H135" i="3" s="1"/>
  <c r="I135" i="3" s="1"/>
  <c r="G126" i="3"/>
  <c r="H126" i="3" s="1"/>
  <c r="I126" i="3" s="1"/>
  <c r="G96" i="3"/>
  <c r="H96" i="3" s="1"/>
  <c r="I96" i="3" s="1"/>
  <c r="F111" i="3"/>
  <c r="I111" i="3" s="1"/>
  <c r="G113" i="3"/>
  <c r="H113" i="3" s="1"/>
  <c r="I113" i="3" s="1"/>
  <c r="G93" i="3"/>
  <c r="H93" i="3" s="1"/>
  <c r="I93" i="3" s="1"/>
  <c r="Q87" i="3"/>
  <c r="G128" i="3"/>
  <c r="H128" i="3" s="1"/>
  <c r="I128" i="3" s="1"/>
  <c r="G137" i="3"/>
  <c r="H137" i="3" s="1"/>
  <c r="I137" i="3" s="1"/>
  <c r="F119" i="3"/>
  <c r="I119" i="3" s="1"/>
  <c r="G104" i="3"/>
  <c r="H104" i="3" s="1"/>
  <c r="I104" i="3" s="1"/>
  <c r="G98" i="3"/>
  <c r="H98" i="3" s="1"/>
  <c r="I98" i="3" s="1"/>
  <c r="F136" i="3"/>
  <c r="P136" i="3" s="1"/>
  <c r="G88" i="3"/>
  <c r="H88" i="3" s="1"/>
  <c r="I88" i="3" s="1"/>
  <c r="G121" i="3"/>
  <c r="H121" i="3" s="1"/>
  <c r="I121" i="3" s="1"/>
  <c r="G130" i="3"/>
  <c r="H130" i="3" s="1"/>
  <c r="I130" i="3" s="1"/>
  <c r="F94" i="3"/>
  <c r="I94" i="3" s="1"/>
  <c r="G87" i="3"/>
  <c r="H87" i="3" s="1"/>
  <c r="I87" i="3" s="1"/>
  <c r="G122" i="3"/>
  <c r="H122" i="3" s="1"/>
  <c r="I122" i="3" s="1"/>
  <c r="G120" i="3"/>
  <c r="H120" i="3" s="1"/>
  <c r="I120" i="3" s="1"/>
  <c r="R122" i="3"/>
  <c r="R85" i="3"/>
  <c r="G112" i="3"/>
  <c r="H112" i="3" s="1"/>
  <c r="I112" i="3" s="1"/>
  <c r="F89" i="3"/>
  <c r="I89" i="3" s="1"/>
  <c r="Q117" i="3"/>
  <c r="Q121" i="3"/>
  <c r="G117" i="3"/>
  <c r="H117" i="3" s="1"/>
  <c r="I117" i="3" s="1"/>
  <c r="F138" i="3"/>
  <c r="I138" i="3" s="1"/>
  <c r="F132" i="3"/>
  <c r="P132" i="3" s="1"/>
  <c r="F91" i="3"/>
  <c r="I91" i="3" s="1"/>
  <c r="G110" i="3"/>
  <c r="H110" i="3" s="1"/>
  <c r="I110" i="3" s="1"/>
  <c r="G85" i="3"/>
  <c r="H85" i="3" s="1"/>
  <c r="I85" i="3" s="1"/>
  <c r="Q93" i="3"/>
  <c r="G83" i="3"/>
  <c r="H83" i="3" s="1"/>
  <c r="I83" i="3" s="1"/>
  <c r="G84" i="3"/>
  <c r="H84" i="3" s="1"/>
  <c r="I84" i="3" s="1"/>
  <c r="F109" i="3"/>
  <c r="P109" i="3" s="1"/>
  <c r="F103" i="3"/>
  <c r="I103" i="3" s="1"/>
  <c r="R120" i="3"/>
  <c r="Q105" i="3"/>
  <c r="G80" i="3"/>
  <c r="G124" i="3"/>
  <c r="H124" i="3" s="1"/>
  <c r="I124" i="3" s="1"/>
  <c r="Q104" i="3"/>
  <c r="R83" i="3"/>
  <c r="H132" i="3"/>
  <c r="F86" i="3"/>
  <c r="I86" i="3" s="1"/>
  <c r="Q112" i="3"/>
  <c r="Q88" i="3"/>
  <c r="Q90" i="3"/>
  <c r="G118" i="3"/>
  <c r="H118" i="3" s="1"/>
  <c r="I118" i="3" s="1"/>
  <c r="R110" i="3"/>
  <c r="Q128" i="3"/>
  <c r="Q114" i="3"/>
  <c r="F82" i="3"/>
  <c r="Q97" i="3"/>
  <c r="Q84" i="3"/>
  <c r="R96" i="3"/>
  <c r="G131" i="3"/>
  <c r="H131" i="3" s="1"/>
  <c r="I131" i="3" s="1"/>
  <c r="G125" i="3"/>
  <c r="H125" i="3" s="1"/>
  <c r="I125" i="3" s="1"/>
  <c r="G127" i="3"/>
  <c r="H127" i="3" s="1"/>
  <c r="I127" i="3" s="1"/>
  <c r="G123" i="3"/>
  <c r="H123" i="3" s="1"/>
  <c r="I123" i="3" s="1"/>
  <c r="Q98" i="3"/>
  <c r="I134" i="3"/>
  <c r="P134" i="3"/>
  <c r="Q124" i="3"/>
  <c r="R113" i="3"/>
  <c r="R106" i="3"/>
  <c r="Q126" i="3"/>
  <c r="G129" i="3"/>
  <c r="H129" i="3" s="1"/>
  <c r="I129" i="3" s="1"/>
  <c r="Q118" i="3"/>
  <c r="Q125" i="3"/>
  <c r="R129" i="3"/>
  <c r="Q127" i="3"/>
  <c r="Q101" i="3"/>
  <c r="R123" i="3"/>
  <c r="G101" i="3"/>
  <c r="H101" i="3" s="1"/>
  <c r="I101" i="3" s="1"/>
  <c r="Z13" i="2"/>
  <c r="X12" i="2" a="1"/>
  <c r="X12" i="2" s="1"/>
  <c r="W56" i="3" a="1"/>
  <c r="W56" i="3" s="1"/>
  <c r="C56" i="3" a="1"/>
  <c r="C56" i="3" s="1"/>
  <c r="I56" i="3" a="1"/>
  <c r="I56" i="3" s="1"/>
  <c r="E56" i="3" a="1"/>
  <c r="E56" i="3" s="1"/>
  <c r="F56" i="3" a="1"/>
  <c r="F56" i="3" s="1"/>
  <c r="S56" i="3" a="1"/>
  <c r="S56" i="3" s="1"/>
  <c r="L56" i="3" a="1"/>
  <c r="L56" i="3" s="1"/>
  <c r="V56" i="3" a="1"/>
  <c r="V56" i="3" s="1"/>
  <c r="H56" i="3" a="1"/>
  <c r="H56" i="3" s="1"/>
  <c r="R56" i="3" a="1"/>
  <c r="R56" i="3" s="1"/>
  <c r="U56" i="3" a="1"/>
  <c r="U56" i="3" s="1"/>
  <c r="D56" i="3" a="1"/>
  <c r="D56" i="3" s="1"/>
  <c r="P56" i="3" a="1"/>
  <c r="P56" i="3" s="1"/>
  <c r="O56" i="3" a="1"/>
  <c r="O56" i="3" s="1"/>
  <c r="K56" i="3" a="1"/>
  <c r="K56" i="3" s="1"/>
  <c r="T56" i="3" a="1"/>
  <c r="T56" i="3" s="1"/>
  <c r="G56" i="3" a="1"/>
  <c r="G56" i="3" s="1"/>
  <c r="M56" i="3" a="1"/>
  <c r="M56" i="3" s="1"/>
  <c r="J56" i="3" a="1"/>
  <c r="J56" i="3" s="1"/>
  <c r="N56" i="3" a="1"/>
  <c r="N56" i="3" s="1"/>
  <c r="Q56" i="3" a="1"/>
  <c r="Q56" i="3" s="1"/>
  <c r="B9" i="4" a="1"/>
  <c r="AB55" i="3" a="1"/>
  <c r="Z15" i="2" a="1"/>
  <c r="G52" i="1" l="1"/>
  <c r="F52" i="1"/>
  <c r="I82" i="3"/>
  <c r="U15" i="2"/>
  <c r="N10" i="4"/>
  <c r="P102" i="3"/>
  <c r="R102" i="3" s="1"/>
  <c r="F48" i="1" s="1"/>
  <c r="Q80" i="3"/>
  <c r="G39" i="1" s="1"/>
  <c r="P111" i="3"/>
  <c r="Q111" i="3" s="1"/>
  <c r="P138" i="3"/>
  <c r="I109" i="3"/>
  <c r="P119" i="3"/>
  <c r="R119" i="3" s="1"/>
  <c r="F40" i="1" s="1"/>
  <c r="I132" i="3"/>
  <c r="P94" i="3"/>
  <c r="Q94" i="3" s="1"/>
  <c r="P91" i="3"/>
  <c r="R91" i="3" s="1"/>
  <c r="G41" i="1"/>
  <c r="G42" i="1"/>
  <c r="P82" i="3"/>
  <c r="Q82" i="3" s="1"/>
  <c r="I136" i="3"/>
  <c r="P89" i="3"/>
  <c r="Q89" i="3" s="1"/>
  <c r="P103" i="3"/>
  <c r="R103" i="3" s="1"/>
  <c r="F38" i="1" s="1"/>
  <c r="F39" i="1"/>
  <c r="P86" i="3"/>
  <c r="Q86" i="3" s="1"/>
  <c r="H80" i="3"/>
  <c r="I80" i="3" s="1"/>
  <c r="F42" i="1"/>
  <c r="F41" i="1"/>
  <c r="AH56" i="3" a="1"/>
  <c r="AH56" i="3" s="1"/>
  <c r="AD68" i="3" s="1" a="1"/>
  <c r="AD68" i="3" s="1"/>
  <c r="R109" i="3"/>
  <c r="Q109" i="3"/>
  <c r="Z15" i="2"/>
  <c r="B9" i="4"/>
  <c r="AB55" i="3"/>
  <c r="AD55" i="3" s="1" a="1"/>
  <c r="AD55" i="3" s="1"/>
  <c r="G93" i="2"/>
  <c r="G86" i="2"/>
  <c r="G79" i="2"/>
  <c r="G72" i="2"/>
  <c r="G65" i="2"/>
  <c r="G58" i="2"/>
  <c r="G51" i="2"/>
  <c r="G44" i="2"/>
  <c r="G37" i="2"/>
  <c r="G30" i="2"/>
  <c r="G23" i="2"/>
  <c r="B2" i="1"/>
  <c r="E1" i="2"/>
  <c r="C3" i="6"/>
  <c r="C1" i="2"/>
  <c r="E57" i="6"/>
  <c r="B57" i="6" s="1"/>
  <c r="D57" i="6" s="1"/>
  <c r="E58" i="6"/>
  <c r="B58" i="6" s="1"/>
  <c r="D58" i="6" s="1"/>
  <c r="E59" i="6"/>
  <c r="B59" i="6" s="1"/>
  <c r="D59" i="6" s="1"/>
  <c r="E60" i="6"/>
  <c r="B60" i="6" s="1"/>
  <c r="D60" i="6" s="1"/>
  <c r="E61" i="6"/>
  <c r="B61" i="6" s="1"/>
  <c r="D61" i="6" s="1"/>
  <c r="Q102" i="3" l="1"/>
  <c r="G48" i="1" s="1"/>
  <c r="F49" i="1"/>
  <c r="F51" i="1"/>
  <c r="R111" i="3"/>
  <c r="G46" i="1"/>
  <c r="G47" i="1"/>
  <c r="F50" i="1"/>
  <c r="Q119" i="3"/>
  <c r="R94" i="3"/>
  <c r="R89" i="3"/>
  <c r="R86" i="3"/>
  <c r="Q91" i="3"/>
  <c r="G51" i="1" s="1"/>
  <c r="G43" i="1"/>
  <c r="R82" i="3"/>
  <c r="G44" i="1"/>
  <c r="Q103" i="3"/>
  <c r="G38" i="1" s="1"/>
  <c r="G45" i="1"/>
  <c r="F43" i="1"/>
  <c r="C61" i="6"/>
  <c r="C60" i="6"/>
  <c r="C59" i="6"/>
  <c r="C58" i="6"/>
  <c r="C57" i="6"/>
  <c r="C44" i="6"/>
  <c r="U4" i="3" a="1"/>
  <c r="H52" i="1" l="1" a="1"/>
  <c r="H52" i="1" s="1"/>
  <c r="G40" i="1"/>
  <c r="I52" i="1" a="1"/>
  <c r="I52" i="1" s="1"/>
  <c r="M1" i="2"/>
  <c r="I51" i="1" a="1"/>
  <c r="I51" i="1" s="1"/>
  <c r="F47" i="1"/>
  <c r="H51" i="1" a="1"/>
  <c r="H51" i="1" s="1"/>
  <c r="F46" i="1"/>
  <c r="H47" i="1" a="1"/>
  <c r="H47" i="1" s="1"/>
  <c r="H46" i="1" a="1"/>
  <c r="H46" i="1" s="1"/>
  <c r="H42" i="1" a="1"/>
  <c r="H42" i="1" s="1"/>
  <c r="F44" i="1"/>
  <c r="G49" i="1"/>
  <c r="G50" i="1"/>
  <c r="H39" i="1" a="1"/>
  <c r="H39" i="1" s="1"/>
  <c r="H50" i="1" a="1"/>
  <c r="H50" i="1" s="1"/>
  <c r="I50" i="1" a="1"/>
  <c r="I50" i="1" s="1"/>
  <c r="F45" i="1"/>
  <c r="H43" i="1" a="1"/>
  <c r="H43" i="1" s="1"/>
  <c r="H38" i="1" a="1"/>
  <c r="H38" i="1" s="1"/>
  <c r="H40" i="1" a="1"/>
  <c r="H40" i="1" s="1"/>
  <c r="H41" i="1" a="1"/>
  <c r="H41" i="1" s="1"/>
  <c r="F35" i="1"/>
  <c r="H45" i="1" a="1"/>
  <c r="H45" i="1" s="1"/>
  <c r="H44" i="1" a="1"/>
  <c r="H44" i="1" s="1"/>
  <c r="H49" i="1" a="1"/>
  <c r="H49" i="1" s="1"/>
  <c r="H48" i="1" a="1"/>
  <c r="H48" i="1" s="1"/>
  <c r="R141" i="3"/>
  <c r="I42" i="1" a="1"/>
  <c r="I42" i="1" s="1"/>
  <c r="I38" i="1" a="1"/>
  <c r="I38" i="1" s="1"/>
  <c r="I47" i="1" a="1"/>
  <c r="I47" i="1" s="1"/>
  <c r="I46" i="1" a="1"/>
  <c r="I46" i="1" s="1"/>
  <c r="I43" i="1" a="1"/>
  <c r="I43" i="1" s="1"/>
  <c r="I49" i="1" a="1"/>
  <c r="I49" i="1" s="1"/>
  <c r="I48" i="1" a="1"/>
  <c r="I48" i="1" s="1"/>
  <c r="I40" i="1" a="1"/>
  <c r="I40" i="1" s="1"/>
  <c r="I41" i="1" a="1"/>
  <c r="I41" i="1" s="1"/>
  <c r="I45" i="1" a="1"/>
  <c r="I45" i="1" s="1"/>
  <c r="Q141" i="3"/>
  <c r="I44" i="1" a="1"/>
  <c r="I44" i="1" s="1"/>
  <c r="G35" i="1"/>
  <c r="I39" i="1" a="1"/>
  <c r="I39" i="1" s="1"/>
  <c r="U4" i="3"/>
  <c r="C80" i="6"/>
  <c r="C74" i="6"/>
  <c r="C68" i="6"/>
  <c r="C62" i="6"/>
  <c r="C56" i="6"/>
  <c r="C50" i="6"/>
  <c r="C38" i="6"/>
  <c r="C32" i="6"/>
  <c r="C26" i="6"/>
  <c r="C20" i="6"/>
  <c r="C14" i="6"/>
  <c r="C8" i="6"/>
  <c r="X4" i="3" a="1"/>
  <c r="J52" i="1" l="1"/>
  <c r="K52" i="1" s="1"/>
  <c r="J51" i="1"/>
  <c r="K51" i="1" s="1"/>
  <c r="J42" i="1"/>
  <c r="K42" i="1" s="1"/>
  <c r="J46" i="1"/>
  <c r="K46" i="1" s="1"/>
  <c r="J39" i="1"/>
  <c r="K39" i="1" s="1"/>
  <c r="J47" i="1"/>
  <c r="K47" i="1" s="1"/>
  <c r="J49" i="1"/>
  <c r="K49" i="1" s="1"/>
  <c r="J50" i="1"/>
  <c r="K50" i="1" s="1"/>
  <c r="J38" i="1"/>
  <c r="K38" i="1" s="1"/>
  <c r="J43" i="1"/>
  <c r="K43" i="1" s="1"/>
  <c r="J40" i="1"/>
  <c r="K40" i="1" s="1"/>
  <c r="J48" i="1"/>
  <c r="K48" i="1" s="1"/>
  <c r="J41" i="1"/>
  <c r="K41" i="1" s="1"/>
  <c r="H35" i="1"/>
  <c r="J44" i="1"/>
  <c r="K44" i="1" s="1"/>
  <c r="J45" i="1"/>
  <c r="K45" i="1" s="1"/>
  <c r="I35" i="1"/>
  <c r="X4" i="3"/>
  <c r="C4" i="3" s="1"/>
  <c r="C19" i="3"/>
  <c r="G4" i="6"/>
  <c r="E82" i="6"/>
  <c r="E83" i="6"/>
  <c r="E84" i="6"/>
  <c r="E85" i="6"/>
  <c r="E76" i="6"/>
  <c r="D76" i="6" s="1"/>
  <c r="E77" i="6"/>
  <c r="E78" i="6"/>
  <c r="E79" i="6"/>
  <c r="E70" i="6"/>
  <c r="C70" i="6" s="1"/>
  <c r="E71" i="6"/>
  <c r="C71" i="6" s="1"/>
  <c r="E72" i="6"/>
  <c r="B72" i="6" s="1"/>
  <c r="D72" i="6" s="1"/>
  <c r="E73" i="6"/>
  <c r="D73" i="6" s="1"/>
  <c r="E64" i="6"/>
  <c r="C64" i="6" s="1"/>
  <c r="E65" i="6"/>
  <c r="C65" i="6" s="1"/>
  <c r="E66" i="6"/>
  <c r="B66" i="6" s="1"/>
  <c r="D66" i="6" s="1"/>
  <c r="E67" i="6"/>
  <c r="E52" i="6"/>
  <c r="C52" i="6" s="1"/>
  <c r="E53" i="6"/>
  <c r="C53" i="6" s="1"/>
  <c r="E54" i="6"/>
  <c r="B54" i="6" s="1"/>
  <c r="D54" i="6" s="1"/>
  <c r="E55" i="6"/>
  <c r="C55" i="6" s="1"/>
  <c r="E46" i="6"/>
  <c r="C46" i="6" s="1"/>
  <c r="E47" i="6"/>
  <c r="C47" i="6" s="1"/>
  <c r="E48" i="6"/>
  <c r="B48" i="6" s="1"/>
  <c r="D48" i="6" s="1"/>
  <c r="E49" i="6"/>
  <c r="E40" i="6"/>
  <c r="C40" i="6" s="1"/>
  <c r="E41" i="6"/>
  <c r="C41" i="6" s="1"/>
  <c r="E42" i="6"/>
  <c r="E43" i="6"/>
  <c r="C43" i="6" s="1"/>
  <c r="E34" i="6"/>
  <c r="C34" i="6" s="1"/>
  <c r="E35" i="6"/>
  <c r="C35" i="6" s="1"/>
  <c r="E36" i="6"/>
  <c r="B36" i="6" s="1"/>
  <c r="D36" i="6" s="1"/>
  <c r="E37" i="6"/>
  <c r="C37" i="6" s="1"/>
  <c r="E28" i="6"/>
  <c r="C28" i="6" s="1"/>
  <c r="E29" i="6"/>
  <c r="E30" i="6"/>
  <c r="B30" i="6" s="1"/>
  <c r="D30" i="6" s="1"/>
  <c r="E31" i="6"/>
  <c r="E22" i="6"/>
  <c r="C22" i="6" s="1"/>
  <c r="E23" i="6"/>
  <c r="C23" i="6" s="1"/>
  <c r="E24" i="6"/>
  <c r="B24" i="6" s="1"/>
  <c r="D24" i="6" s="1"/>
  <c r="E25" i="6"/>
  <c r="E19" i="6"/>
  <c r="C19" i="6" s="1"/>
  <c r="E16" i="6"/>
  <c r="C16" i="6" s="1"/>
  <c r="E17" i="6"/>
  <c r="B17" i="6" s="1"/>
  <c r="D17" i="6" s="1"/>
  <c r="E18" i="6"/>
  <c r="C18" i="6" s="1"/>
  <c r="E75" i="6"/>
  <c r="I20" i="6"/>
  <c r="I26" i="6"/>
  <c r="I32" i="6"/>
  <c r="I38" i="6"/>
  <c r="I44" i="6"/>
  <c r="I50" i="6"/>
  <c r="I56" i="6"/>
  <c r="I62" i="6"/>
  <c r="I68" i="6"/>
  <c r="I74" i="6"/>
  <c r="I80" i="6"/>
  <c r="I14" i="6"/>
  <c r="E9" i="6"/>
  <c r="C9" i="6" s="1"/>
  <c r="E69" i="6"/>
  <c r="B69" i="6" s="1"/>
  <c r="D69" i="6" s="1"/>
  <c r="E81" i="6"/>
  <c r="E63" i="6"/>
  <c r="E51" i="6"/>
  <c r="B51" i="6" s="1"/>
  <c r="D51" i="6" s="1"/>
  <c r="E45" i="6"/>
  <c r="B45" i="6" s="1"/>
  <c r="D45" i="6" s="1"/>
  <c r="E39" i="6"/>
  <c r="E33" i="6"/>
  <c r="E27" i="6"/>
  <c r="E21" i="6"/>
  <c r="E15" i="6"/>
  <c r="E10" i="6"/>
  <c r="C10" i="6" s="1"/>
  <c r="E11" i="6"/>
  <c r="C11" i="6" s="1"/>
  <c r="E12" i="6"/>
  <c r="E13" i="6"/>
  <c r="C13" i="6" s="1"/>
  <c r="F3" i="6"/>
  <c r="I7" i="6"/>
  <c r="I8" i="6"/>
  <c r="J35" i="1" l="1"/>
  <c r="K35" i="1" s="1"/>
  <c r="C85" i="6"/>
  <c r="D85" i="6"/>
  <c r="G84" i="6"/>
  <c r="D84" i="6"/>
  <c r="F83" i="6"/>
  <c r="D83" i="6"/>
  <c r="C82" i="6"/>
  <c r="D82" i="6"/>
  <c r="C79" i="6"/>
  <c r="D79" i="6"/>
  <c r="B78" i="6"/>
  <c r="D78" i="6"/>
  <c r="C77" i="6"/>
  <c r="D77" i="6"/>
  <c r="C73" i="6"/>
  <c r="C76" i="6"/>
  <c r="J5" i="6"/>
  <c r="J6" i="6" s="1"/>
  <c r="B53" i="6"/>
  <c r="D53" i="6" s="1"/>
  <c r="C63" i="6"/>
  <c r="B73" i="6"/>
  <c r="B15" i="6"/>
  <c r="D15" i="6" s="1"/>
  <c r="B25" i="6"/>
  <c r="D25" i="6" s="1"/>
  <c r="C25" i="6"/>
  <c r="B29" i="6"/>
  <c r="D29" i="6" s="1"/>
  <c r="C39" i="6"/>
  <c r="B77" i="6"/>
  <c r="B19" i="6"/>
  <c r="D19" i="6" s="1"/>
  <c r="B28" i="6"/>
  <c r="D28" i="6" s="1"/>
  <c r="B39" i="6"/>
  <c r="D39" i="6" s="1"/>
  <c r="B52" i="6"/>
  <c r="D52" i="6" s="1"/>
  <c r="B63" i="6"/>
  <c r="D63" i="6" s="1"/>
  <c r="B76" i="6"/>
  <c r="B9" i="6"/>
  <c r="D9" i="6" s="1"/>
  <c r="B18" i="6"/>
  <c r="D18" i="6" s="1"/>
  <c r="B23" i="6"/>
  <c r="D23" i="6" s="1"/>
  <c r="C33" i="6"/>
  <c r="B43" i="6"/>
  <c r="D43" i="6" s="1"/>
  <c r="B47" i="6"/>
  <c r="D47" i="6" s="1"/>
  <c r="B67" i="6"/>
  <c r="D67" i="6" s="1"/>
  <c r="B71" i="6"/>
  <c r="D71" i="6" s="1"/>
  <c r="C81" i="6"/>
  <c r="B13" i="6"/>
  <c r="D13" i="6" s="1"/>
  <c r="B22" i="6"/>
  <c r="D22" i="6" s="1"/>
  <c r="B33" i="6"/>
  <c r="D33" i="6" s="1"/>
  <c r="B42" i="6"/>
  <c r="D42" i="6" s="1"/>
  <c r="B46" i="6"/>
  <c r="D46" i="6" s="1"/>
  <c r="B70" i="6"/>
  <c r="D70" i="6" s="1"/>
  <c r="B81" i="6"/>
  <c r="D81" i="6" s="1"/>
  <c r="B12" i="6"/>
  <c r="D12" i="6" s="1"/>
  <c r="B16" i="6"/>
  <c r="D16" i="6" s="1"/>
  <c r="C27" i="6"/>
  <c r="B37" i="6"/>
  <c r="D37" i="6" s="1"/>
  <c r="B41" i="6"/>
  <c r="D41" i="6" s="1"/>
  <c r="C51" i="6"/>
  <c r="B65" i="6"/>
  <c r="D65" i="6" s="1"/>
  <c r="C75" i="6"/>
  <c r="B85" i="6"/>
  <c r="B49" i="6"/>
  <c r="D49" i="6" s="1"/>
  <c r="B11" i="6"/>
  <c r="D11" i="6" s="1"/>
  <c r="B27" i="6"/>
  <c r="D27" i="6" s="1"/>
  <c r="B40" i="6"/>
  <c r="D40" i="6" s="1"/>
  <c r="B64" i="6"/>
  <c r="D64" i="6" s="1"/>
  <c r="B75" i="6"/>
  <c r="D75" i="6" s="1"/>
  <c r="B84" i="6"/>
  <c r="C83" i="6"/>
  <c r="B10" i="6"/>
  <c r="D10" i="6" s="1"/>
  <c r="C21" i="6"/>
  <c r="B31" i="6"/>
  <c r="D31" i="6" s="1"/>
  <c r="B35" i="6"/>
  <c r="D35" i="6" s="1"/>
  <c r="C45" i="6"/>
  <c r="B55" i="6"/>
  <c r="D55" i="6" s="1"/>
  <c r="C69" i="6"/>
  <c r="B79" i="6"/>
  <c r="B83" i="6"/>
  <c r="C15" i="6"/>
  <c r="B21" i="6"/>
  <c r="D21" i="6" s="1"/>
  <c r="B34" i="6"/>
  <c r="D34" i="6" s="1"/>
  <c r="B82" i="6"/>
  <c r="C31" i="6"/>
  <c r="C67" i="6"/>
  <c r="C49" i="6"/>
  <c r="G79" i="6"/>
  <c r="C29" i="6"/>
  <c r="F84" i="6"/>
  <c r="H85" i="6"/>
  <c r="C12" i="6"/>
  <c r="H84" i="6"/>
  <c r="C84" i="6"/>
  <c r="H83" i="6"/>
  <c r="H79" i="6"/>
  <c r="G85" i="6"/>
  <c r="F85" i="6"/>
  <c r="G83" i="6"/>
  <c r="F79" i="6"/>
  <c r="C78" i="6"/>
  <c r="C72" i="6"/>
  <c r="C66" i="6"/>
  <c r="C54" i="6"/>
  <c r="C48" i="6"/>
  <c r="C42" i="6"/>
  <c r="C36" i="6"/>
  <c r="C30" i="6"/>
  <c r="C24" i="6"/>
  <c r="C17" i="6"/>
  <c r="E3" i="2"/>
  <c r="R2" i="1"/>
  <c r="I84" i="6" l="1"/>
  <c r="I83" i="6"/>
  <c r="E4" i="2"/>
  <c r="L76" i="3" s="1"/>
  <c r="F3" i="2"/>
  <c r="I85" i="6"/>
  <c r="I79" i="6"/>
  <c r="F9" i="6" l="1"/>
  <c r="H9" i="6" s="1"/>
  <c r="F4" i="2" a="1"/>
  <c r="F4" i="2" s="1"/>
  <c r="M76" i="3" s="1"/>
  <c r="P3" i="2"/>
  <c r="E17" i="2" a="1"/>
  <c r="E17" i="2" s="1"/>
  <c r="E10" i="2" a="1"/>
  <c r="E10" i="2" s="1"/>
  <c r="E24" i="3"/>
  <c r="D24" i="3"/>
  <c r="M4" i="3"/>
  <c r="B5" i="3"/>
  <c r="U5" i="3" a="1"/>
  <c r="E5" i="2" l="1" a="1"/>
  <c r="E5" i="2" s="1"/>
  <c r="O4" i="2"/>
  <c r="O76" i="3" s="1"/>
  <c r="U5" i="3"/>
  <c r="B7" i="1" s="1"/>
  <c r="L5" i="3"/>
  <c r="N5" i="3" s="1"/>
  <c r="B6" i="3"/>
  <c r="J43" i="3"/>
  <c r="G25" i="3" a="1"/>
  <c r="G25" i="3" s="1"/>
  <c r="X5" i="3" a="1"/>
  <c r="F5" i="3" a="1"/>
  <c r="U6" i="3" a="1"/>
  <c r="F5" i="2" l="1" a="1"/>
  <c r="F5" i="2" s="1"/>
  <c r="M77" i="3" s="1"/>
  <c r="L77" i="3"/>
  <c r="F5" i="3"/>
  <c r="O5" i="3"/>
  <c r="P5" i="3" s="1"/>
  <c r="M5" i="3"/>
  <c r="U6" i="3"/>
  <c r="B8" i="1" s="1"/>
  <c r="X5" i="3"/>
  <c r="C5" i="3" s="1"/>
  <c r="L6" i="3"/>
  <c r="N6" i="3" s="1"/>
  <c r="B7" i="3"/>
  <c r="O4" i="3"/>
  <c r="B6" i="1"/>
  <c r="F6" i="3" a="1"/>
  <c r="H5" i="3" a="1"/>
  <c r="X6" i="3" a="1"/>
  <c r="X7" i="3" a="1"/>
  <c r="G4" i="3" a="1"/>
  <c r="O5" i="2" l="1"/>
  <c r="O77" i="3" s="1"/>
  <c r="E6" i="2" a="1"/>
  <c r="E6" i="2" s="1"/>
  <c r="H5" i="3"/>
  <c r="G4" i="3"/>
  <c r="F6" i="3"/>
  <c r="J7" i="1"/>
  <c r="M6" i="3"/>
  <c r="X6" i="3"/>
  <c r="C6" i="3" s="1"/>
  <c r="X7" i="3"/>
  <c r="C7" i="3" s="1"/>
  <c r="J6" i="1"/>
  <c r="B8" i="3"/>
  <c r="L7" i="3"/>
  <c r="Q5" i="3"/>
  <c r="P4" i="3"/>
  <c r="O6" i="3"/>
  <c r="G5" i="3" a="1"/>
  <c r="U8" i="3" a="1"/>
  <c r="U7" i="3" a="1"/>
  <c r="I5" i="3" a="1"/>
  <c r="H4" i="3" a="1"/>
  <c r="G6" i="3" a="1"/>
  <c r="G5" i="3" l="1"/>
  <c r="K7" i="1" s="1"/>
  <c r="U7" i="3"/>
  <c r="B9" i="1" s="1"/>
  <c r="F6" i="2" a="1"/>
  <c r="F6" i="2" s="1"/>
  <c r="L78" i="3"/>
  <c r="H4" i="3"/>
  <c r="I5" i="3"/>
  <c r="G6" i="3"/>
  <c r="K8" i="1" s="1"/>
  <c r="U8" i="3"/>
  <c r="B10" i="1" s="1"/>
  <c r="M7" i="3"/>
  <c r="N7" i="3"/>
  <c r="B9" i="3"/>
  <c r="L8" i="3"/>
  <c r="R5" i="3"/>
  <c r="L7" i="1"/>
  <c r="Q4" i="3"/>
  <c r="K6" i="1"/>
  <c r="P6" i="3"/>
  <c r="J8" i="1"/>
  <c r="H6" i="3" a="1"/>
  <c r="J5" i="3" a="1"/>
  <c r="X8" i="3" a="1"/>
  <c r="F7" i="3" a="1"/>
  <c r="U9" i="3" a="1"/>
  <c r="I4" i="3" a="1"/>
  <c r="M78" i="3" l="1"/>
  <c r="E12" i="2" a="1"/>
  <c r="E12" i="2" s="1"/>
  <c r="O6" i="2"/>
  <c r="O78" i="3" s="1"/>
  <c r="F7" i="3"/>
  <c r="H6" i="3"/>
  <c r="I4" i="3"/>
  <c r="J5" i="3"/>
  <c r="T5" i="3" s="1" a="1"/>
  <c r="T5" i="3" s="1"/>
  <c r="O7" i="1" s="1"/>
  <c r="X8" i="3"/>
  <c r="C8" i="3" s="1"/>
  <c r="U9" i="3"/>
  <c r="L6" i="1"/>
  <c r="M7" i="1"/>
  <c r="N8" i="3"/>
  <c r="M8" i="3"/>
  <c r="L9" i="3"/>
  <c r="B10" i="3"/>
  <c r="O7" i="3"/>
  <c r="S5" i="3"/>
  <c r="R4" i="3"/>
  <c r="Q6" i="3"/>
  <c r="G7" i="3" a="1"/>
  <c r="F8" i="3" a="1"/>
  <c r="X9" i="3" a="1"/>
  <c r="V5" i="3" a="1"/>
  <c r="J4" i="3" a="1"/>
  <c r="U10" i="3" a="1"/>
  <c r="I6" i="3" a="1"/>
  <c r="F12" i="2" l="1" a="1"/>
  <c r="F12" i="2" s="1"/>
  <c r="L82" i="3"/>
  <c r="J4" i="3"/>
  <c r="G7" i="3"/>
  <c r="I6" i="3"/>
  <c r="M8" i="1" s="1"/>
  <c r="F8" i="3"/>
  <c r="U10" i="3"/>
  <c r="B12" i="1" s="1"/>
  <c r="X9" i="3"/>
  <c r="C9" i="3" s="1"/>
  <c r="B11" i="1"/>
  <c r="W5" i="3"/>
  <c r="M6" i="1"/>
  <c r="J9" i="1"/>
  <c r="M9" i="3"/>
  <c r="N9" i="3"/>
  <c r="P7" i="3"/>
  <c r="O8" i="3"/>
  <c r="B11" i="3"/>
  <c r="L10" i="3"/>
  <c r="V5" i="3"/>
  <c r="E7" i="1" s="1"/>
  <c r="S4" i="3"/>
  <c r="N7" i="1"/>
  <c r="R6" i="3"/>
  <c r="L8" i="1"/>
  <c r="H7" i="3" a="1"/>
  <c r="X10" i="3" a="1"/>
  <c r="J6" i="3" a="1"/>
  <c r="V4" i="3" a="1"/>
  <c r="X11" i="3" a="1"/>
  <c r="F9" i="3" a="1"/>
  <c r="G8" i="3" a="1"/>
  <c r="W4" i="3" l="1"/>
  <c r="D40" i="3" s="1"/>
  <c r="O12" i="2"/>
  <c r="O82" i="3" s="1"/>
  <c r="M82" i="3"/>
  <c r="J6" i="3"/>
  <c r="H7" i="3"/>
  <c r="G8" i="3"/>
  <c r="K10" i="1" s="1"/>
  <c r="F9" i="3"/>
  <c r="X10" i="3"/>
  <c r="C10" i="3" s="1"/>
  <c r="X11" i="3"/>
  <c r="C11" i="3" s="1"/>
  <c r="T4" i="3" a="1"/>
  <c r="T4" i="3" s="1"/>
  <c r="O6" i="1" s="1"/>
  <c r="I7" i="1"/>
  <c r="K9" i="1"/>
  <c r="E41" i="3"/>
  <c r="C41" i="3"/>
  <c r="N6" i="1"/>
  <c r="J10" i="1"/>
  <c r="O9" i="3"/>
  <c r="P8" i="3"/>
  <c r="Q7" i="3"/>
  <c r="N10" i="3"/>
  <c r="M10" i="3"/>
  <c r="B12" i="3"/>
  <c r="L11" i="3"/>
  <c r="V4" i="3"/>
  <c r="E6" i="1" s="1"/>
  <c r="S6" i="3"/>
  <c r="F10" i="3" a="1"/>
  <c r="U12" i="3" a="1"/>
  <c r="V6" i="3" a="1"/>
  <c r="U11" i="3" a="1"/>
  <c r="G9" i="3" a="1"/>
  <c r="H8" i="3" a="1"/>
  <c r="I7" i="3" a="1"/>
  <c r="C40" i="3" l="1"/>
  <c r="E40" i="3"/>
  <c r="I7" i="3"/>
  <c r="H8" i="3"/>
  <c r="G9" i="3"/>
  <c r="K11" i="1" s="1"/>
  <c r="F10" i="3"/>
  <c r="U11" i="3"/>
  <c r="B13" i="1" s="1"/>
  <c r="U12" i="3"/>
  <c r="B14" i="1" s="1"/>
  <c r="W6" i="3"/>
  <c r="T6" i="3" a="1"/>
  <c r="T6" i="3" s="1"/>
  <c r="O8" i="1" s="1"/>
  <c r="D41" i="3"/>
  <c r="J11" i="1"/>
  <c r="L9" i="1"/>
  <c r="I6" i="1"/>
  <c r="R7" i="3"/>
  <c r="N11" i="3"/>
  <c r="M11" i="3"/>
  <c r="P9" i="3"/>
  <c r="O10" i="3"/>
  <c r="Q8" i="3"/>
  <c r="L12" i="3"/>
  <c r="B13" i="3"/>
  <c r="V6" i="3"/>
  <c r="E8" i="1" s="1"/>
  <c r="N8" i="1"/>
  <c r="D4" i="3" a="1"/>
  <c r="H9" i="3" a="1"/>
  <c r="F11" i="3" a="1"/>
  <c r="G10" i="3" a="1"/>
  <c r="J7" i="3" a="1"/>
  <c r="I8" i="3" a="1"/>
  <c r="X12" i="3" a="1"/>
  <c r="U13" i="3" a="1"/>
  <c r="D4" i="3" l="1"/>
  <c r="F11" i="3"/>
  <c r="J7" i="3"/>
  <c r="I8" i="3"/>
  <c r="G10" i="3"/>
  <c r="K12" i="1" s="1"/>
  <c r="H9" i="3"/>
  <c r="X12" i="3"/>
  <c r="C12" i="3" s="1"/>
  <c r="U13" i="3"/>
  <c r="B15" i="1" s="1"/>
  <c r="E42" i="3"/>
  <c r="C6" i="1"/>
  <c r="C42" i="3"/>
  <c r="D42" i="3"/>
  <c r="I8" i="1"/>
  <c r="M9" i="1"/>
  <c r="J12" i="1"/>
  <c r="L10" i="1"/>
  <c r="S7" i="3"/>
  <c r="B14" i="3"/>
  <c r="L13" i="3"/>
  <c r="N12" i="3"/>
  <c r="M12" i="3"/>
  <c r="Q9" i="3"/>
  <c r="O11" i="3"/>
  <c r="R8" i="3"/>
  <c r="P10" i="3"/>
  <c r="X13" i="3" a="1"/>
  <c r="U14" i="3" a="1"/>
  <c r="H10" i="3" a="1"/>
  <c r="G11" i="3" a="1"/>
  <c r="V7" i="3" a="1"/>
  <c r="F12" i="3" a="1"/>
  <c r="I9" i="3" a="1"/>
  <c r="J8" i="3" a="1"/>
  <c r="T7" i="3" l="1" a="1"/>
  <c r="T7" i="3" s="1"/>
  <c r="O9" i="1" s="1"/>
  <c r="F12" i="3"/>
  <c r="G11" i="3"/>
  <c r="K13" i="1" s="1"/>
  <c r="I9" i="3"/>
  <c r="M11" i="1" s="1"/>
  <c r="H10" i="3"/>
  <c r="J8" i="3"/>
  <c r="U14" i="3"/>
  <c r="B16" i="1" s="1"/>
  <c r="X13" i="3"/>
  <c r="C13" i="3" s="1"/>
  <c r="M10" i="1"/>
  <c r="W7" i="3"/>
  <c r="J13" i="1"/>
  <c r="L11" i="1"/>
  <c r="V7" i="3"/>
  <c r="R9" i="3"/>
  <c r="P11" i="3"/>
  <c r="O12" i="3"/>
  <c r="Q10" i="3"/>
  <c r="N13" i="3"/>
  <c r="M13" i="3"/>
  <c r="S8" i="3"/>
  <c r="L14" i="3"/>
  <c r="B15" i="3"/>
  <c r="N9" i="1"/>
  <c r="X14" i="3" a="1"/>
  <c r="U15" i="3" a="1"/>
  <c r="V8" i="3" a="1"/>
  <c r="I10" i="3" a="1"/>
  <c r="G12" i="3" a="1"/>
  <c r="F13" i="3" a="1"/>
  <c r="J9" i="3" a="1"/>
  <c r="H11" i="3" a="1"/>
  <c r="T8" i="3" l="1" a="1"/>
  <c r="T8" i="3" s="1"/>
  <c r="O10" i="1" s="1"/>
  <c r="J9" i="3"/>
  <c r="H11" i="3"/>
  <c r="L13" i="1" s="1"/>
  <c r="F13" i="3"/>
  <c r="I10" i="3"/>
  <c r="G12" i="3"/>
  <c r="K14" i="1" s="1"/>
  <c r="X14" i="3"/>
  <c r="C14" i="3" s="1"/>
  <c r="C7" i="1"/>
  <c r="U15" i="3"/>
  <c r="L12" i="1"/>
  <c r="E9" i="1"/>
  <c r="E43" i="3"/>
  <c r="D43" i="3"/>
  <c r="C43" i="3"/>
  <c r="W8" i="3"/>
  <c r="J14" i="1"/>
  <c r="N10" i="1"/>
  <c r="V8" i="3"/>
  <c r="E10" i="1" s="1"/>
  <c r="R10" i="3"/>
  <c r="B16" i="3"/>
  <c r="L15" i="3"/>
  <c r="P12" i="3"/>
  <c r="O13" i="3"/>
  <c r="M14" i="3"/>
  <c r="N14" i="3"/>
  <c r="Q11" i="3"/>
  <c r="S9" i="3"/>
  <c r="J10" i="3" a="1"/>
  <c r="X16" i="3" a="1"/>
  <c r="V9" i="3" a="1"/>
  <c r="H12" i="3" a="1"/>
  <c r="I11" i="3" a="1"/>
  <c r="U16" i="3" a="1"/>
  <c r="X15" i="3" a="1"/>
  <c r="F14" i="3" a="1"/>
  <c r="G13" i="3" a="1"/>
  <c r="W9" i="3" l="1"/>
  <c r="C45" i="3" s="1"/>
  <c r="H12" i="3"/>
  <c r="I11" i="3"/>
  <c r="M13" i="1" s="1"/>
  <c r="F14" i="3"/>
  <c r="J10" i="3"/>
  <c r="G13" i="3"/>
  <c r="K15" i="1" s="1"/>
  <c r="C9" i="1"/>
  <c r="C8" i="1"/>
  <c r="U16" i="3"/>
  <c r="X15" i="3"/>
  <c r="C15" i="3" s="1"/>
  <c r="C17" i="1" s="1"/>
  <c r="X16" i="3"/>
  <c r="C16" i="3" s="1"/>
  <c r="C18" i="1" s="1"/>
  <c r="B17" i="1"/>
  <c r="T9" i="3" a="1"/>
  <c r="T9" i="3" s="1"/>
  <c r="O11" i="1" s="1"/>
  <c r="I9" i="1"/>
  <c r="I10" i="1"/>
  <c r="D44" i="3"/>
  <c r="E44" i="3"/>
  <c r="C44" i="3"/>
  <c r="M12" i="1"/>
  <c r="J15" i="1"/>
  <c r="N11" i="1"/>
  <c r="V9" i="3"/>
  <c r="E11" i="1" s="1"/>
  <c r="Q12" i="3"/>
  <c r="L16" i="3"/>
  <c r="N15" i="3"/>
  <c r="M15" i="3"/>
  <c r="R11" i="3"/>
  <c r="O14" i="3"/>
  <c r="P13" i="3"/>
  <c r="S10" i="3"/>
  <c r="F15" i="3" a="1"/>
  <c r="J11" i="3" a="1"/>
  <c r="H13" i="3" a="1"/>
  <c r="I12" i="3" a="1"/>
  <c r="G14" i="3" a="1"/>
  <c r="V10" i="3" a="1"/>
  <c r="E45" i="3" l="1"/>
  <c r="D45" i="3"/>
  <c r="W10" i="3"/>
  <c r="G14" i="3"/>
  <c r="K16" i="1" s="1"/>
  <c r="F15" i="3"/>
  <c r="J11" i="3"/>
  <c r="I12" i="3"/>
  <c r="H13" i="3"/>
  <c r="C10" i="1"/>
  <c r="B18" i="1"/>
  <c r="I11" i="1"/>
  <c r="T10" i="3" a="1"/>
  <c r="T10" i="3" s="1"/>
  <c r="O12" i="1" s="1"/>
  <c r="L14" i="1"/>
  <c r="J16" i="1"/>
  <c r="N12" i="1"/>
  <c r="V10" i="3"/>
  <c r="E12" i="1" s="1"/>
  <c r="P14" i="3"/>
  <c r="R12" i="3"/>
  <c r="S11" i="3"/>
  <c r="O15" i="3"/>
  <c r="N16" i="3"/>
  <c r="M16" i="3"/>
  <c r="Q13" i="3"/>
  <c r="H14" i="3" a="1"/>
  <c r="F16" i="3" a="1"/>
  <c r="V11" i="3" a="1"/>
  <c r="J12" i="3" a="1"/>
  <c r="G15" i="3" a="1"/>
  <c r="I13" i="3" a="1"/>
  <c r="T11" i="3" l="1" a="1"/>
  <c r="T11" i="3" s="1"/>
  <c r="O13" i="1" s="1"/>
  <c r="D46" i="3"/>
  <c r="E46" i="3"/>
  <c r="C46" i="3"/>
  <c r="G15" i="3"/>
  <c r="K17" i="1" s="1"/>
  <c r="I13" i="3"/>
  <c r="M15" i="1" s="1"/>
  <c r="F16" i="3"/>
  <c r="J12" i="3"/>
  <c r="H14" i="3"/>
  <c r="I12" i="1"/>
  <c r="M14" i="1"/>
  <c r="W11" i="3"/>
  <c r="L15" i="1"/>
  <c r="J17" i="1"/>
  <c r="N13" i="1"/>
  <c r="V11" i="3"/>
  <c r="E13" i="1" s="1"/>
  <c r="O16" i="3"/>
  <c r="P15" i="3"/>
  <c r="S12" i="3"/>
  <c r="R13" i="3"/>
  <c r="Q14" i="3"/>
  <c r="J13" i="3" a="1"/>
  <c r="V12" i="3" a="1"/>
  <c r="I14" i="3" a="1"/>
  <c r="H15" i="3" a="1"/>
  <c r="G16" i="3" a="1"/>
  <c r="I13" i="1" l="1"/>
  <c r="T12" i="3" a="1"/>
  <c r="T12" i="3" s="1"/>
  <c r="O14" i="1" s="1"/>
  <c r="G16" i="3"/>
  <c r="K18" i="1" s="1"/>
  <c r="H15" i="3"/>
  <c r="I14" i="3"/>
  <c r="M16" i="1" s="1"/>
  <c r="J13" i="3"/>
  <c r="C11" i="1"/>
  <c r="C47" i="3"/>
  <c r="E47" i="3"/>
  <c r="D47" i="3"/>
  <c r="L16" i="1"/>
  <c r="W12" i="3"/>
  <c r="J18" i="1"/>
  <c r="N14" i="1"/>
  <c r="V12" i="3"/>
  <c r="E14" i="1" s="1"/>
  <c r="R14" i="3"/>
  <c r="S13" i="3"/>
  <c r="P16" i="3"/>
  <c r="Q15" i="3"/>
  <c r="I15" i="3" a="1"/>
  <c r="V13" i="3" a="1"/>
  <c r="H16" i="3" a="1"/>
  <c r="J14" i="3" a="1"/>
  <c r="W13" i="3" l="1"/>
  <c r="E49" i="3" s="1"/>
  <c r="I14" i="1"/>
  <c r="I15" i="3"/>
  <c r="M17" i="1" s="1"/>
  <c r="H16" i="3"/>
  <c r="L18" i="1" s="1"/>
  <c r="J14" i="3"/>
  <c r="C13" i="1"/>
  <c r="D48" i="3"/>
  <c r="C12" i="1"/>
  <c r="T13" i="3" a="1"/>
  <c r="T13" i="3" s="1"/>
  <c r="O15" i="1" s="1"/>
  <c r="E48" i="3"/>
  <c r="C48" i="3"/>
  <c r="L17" i="1"/>
  <c r="N15" i="1"/>
  <c r="V13" i="3"/>
  <c r="E15" i="1" s="1"/>
  <c r="S14" i="3"/>
  <c r="R15" i="3"/>
  <c r="Q16" i="3"/>
  <c r="I16" i="3" a="1"/>
  <c r="V14" i="3" a="1"/>
  <c r="J15" i="3" a="1"/>
  <c r="D49" i="3" l="1"/>
  <c r="C49" i="3"/>
  <c r="T14" i="3" a="1"/>
  <c r="T14" i="3" s="1"/>
  <c r="O16" i="1" s="1"/>
  <c r="I16" i="3"/>
  <c r="J15" i="3"/>
  <c r="I15" i="1"/>
  <c r="W14" i="3"/>
  <c r="N16" i="1"/>
  <c r="V14" i="3"/>
  <c r="E16" i="1" s="1"/>
  <c r="R16" i="3"/>
  <c r="S15" i="3"/>
  <c r="J16" i="3" a="1"/>
  <c r="V15" i="3" a="1"/>
  <c r="T15" i="3" l="1" a="1"/>
  <c r="T15" i="3" s="1"/>
  <c r="O17" i="1" s="1"/>
  <c r="I16" i="1"/>
  <c r="J16" i="3"/>
  <c r="E27" i="3" s="1" a="1"/>
  <c r="E27" i="3" s="1"/>
  <c r="D50" i="3"/>
  <c r="C14" i="1"/>
  <c r="M18" i="1"/>
  <c r="E50" i="3"/>
  <c r="C50" i="3"/>
  <c r="W15" i="3"/>
  <c r="N17" i="1"/>
  <c r="V15" i="3"/>
  <c r="E17" i="1" s="1"/>
  <c r="I17" i="1" s="1"/>
  <c r="S16" i="3"/>
  <c r="V16" i="3" a="1"/>
  <c r="E31" i="3" l="1" a="1"/>
  <c r="E31" i="3" s="1"/>
  <c r="E35" i="3" a="1"/>
  <c r="E35" i="3" s="1"/>
  <c r="E36" i="3" a="1"/>
  <c r="E36" i="3" s="1"/>
  <c r="E29" i="3" a="1"/>
  <c r="E29" i="3" s="1"/>
  <c r="E28" i="3" a="1"/>
  <c r="E28" i="3" s="1"/>
  <c r="E33" i="3" a="1"/>
  <c r="E33" i="3" s="1"/>
  <c r="E34" i="3" a="1"/>
  <c r="E34" i="3" s="1"/>
  <c r="E32" i="3" a="1"/>
  <c r="E32" i="3" s="1"/>
  <c r="E30" i="3" a="1"/>
  <c r="E30" i="3" s="1"/>
  <c r="W16" i="3"/>
  <c r="E52" i="3" s="1"/>
  <c r="D51" i="3"/>
  <c r="C15" i="1"/>
  <c r="C16" i="1"/>
  <c r="T16" i="3" a="1"/>
  <c r="T16" i="3" s="1"/>
  <c r="O18" i="1" s="1"/>
  <c r="C51" i="3"/>
  <c r="E51" i="3"/>
  <c r="N18" i="1"/>
  <c r="V16" i="3"/>
  <c r="E18" i="1" s="1"/>
  <c r="C52" i="3" l="1"/>
  <c r="D52" i="3"/>
  <c r="I18" i="1"/>
  <c r="O19" i="1"/>
  <c r="F77" i="6" l="1"/>
  <c r="H77" i="6" s="1"/>
  <c r="G77" i="6" l="1"/>
  <c r="I77" i="6" s="1"/>
  <c r="H82" i="6" l="1"/>
  <c r="F78" i="6" l="1"/>
  <c r="H78" i="6" s="1"/>
  <c r="J4" i="6"/>
  <c r="K5" i="6"/>
  <c r="K6" i="6" s="1"/>
  <c r="G78" i="6" l="1"/>
  <c r="I78" i="6" s="1"/>
  <c r="L5" i="6"/>
  <c r="L6" i="6" s="1"/>
  <c r="M5" i="6" l="1"/>
  <c r="M6" i="6" s="1"/>
  <c r="N5" i="6" l="1"/>
  <c r="N6" i="6" s="1"/>
  <c r="O5" i="6" l="1"/>
  <c r="O6" i="6" s="1"/>
  <c r="P5" i="6" l="1"/>
  <c r="P6" i="6" s="1"/>
  <c r="Q5" i="6" l="1"/>
  <c r="Q6" i="6" s="1"/>
  <c r="R5" i="6" l="1"/>
  <c r="R6" i="6" s="1"/>
  <c r="Q4" i="6"/>
  <c r="S5" i="6" l="1"/>
  <c r="S6" i="6" s="1"/>
  <c r="T5" i="6" l="1"/>
  <c r="T6" i="6" s="1"/>
  <c r="U5" i="6" l="1"/>
  <c r="U6" i="6" s="1"/>
  <c r="V5" i="6" l="1"/>
  <c r="V6" i="6" s="1"/>
  <c r="W5" i="6" l="1"/>
  <c r="W6" i="6" s="1"/>
  <c r="X5" i="6" l="1"/>
  <c r="X6" i="6" s="1"/>
  <c r="X4" i="6" l="1"/>
  <c r="Y5" i="6"/>
  <c r="Y6" i="6" s="1"/>
  <c r="Z5" i="6" l="1"/>
  <c r="Z6" i="6" s="1"/>
  <c r="AA5" i="6" l="1"/>
  <c r="AA6" i="6" s="1"/>
  <c r="AB5" i="6" l="1"/>
  <c r="AB6" i="6" s="1"/>
  <c r="AC5" i="6" l="1"/>
  <c r="AC6" i="6" s="1"/>
  <c r="AD5" i="6" l="1"/>
  <c r="AD6" i="6" s="1"/>
  <c r="AE5" i="6" l="1"/>
  <c r="AE6" i="6" s="1"/>
  <c r="AF5" i="6" l="1"/>
  <c r="AF6" i="6" s="1"/>
  <c r="AE4" i="6"/>
  <c r="AG5" i="6" l="1"/>
  <c r="AG6" i="6" s="1"/>
  <c r="AH5" i="6" l="1"/>
  <c r="AH6" i="6" s="1"/>
  <c r="AI5" i="6" l="1"/>
  <c r="AI6" i="6" s="1"/>
  <c r="AJ5" i="6" l="1"/>
  <c r="AJ6" i="6" s="1"/>
  <c r="AK5" i="6" l="1"/>
  <c r="AK6" i="6" s="1"/>
  <c r="AL5" i="6" l="1"/>
  <c r="AL6" i="6" s="1"/>
  <c r="AL4" i="6" l="1"/>
  <c r="AM5" i="6"/>
  <c r="AM6" i="6" s="1"/>
  <c r="AN5" i="6" l="1"/>
  <c r="AN6" i="6" s="1"/>
  <c r="AO5" i="6" l="1"/>
  <c r="AO6" i="6" s="1"/>
  <c r="AP5" i="6" l="1"/>
  <c r="AP6" i="6" s="1"/>
  <c r="AQ5" i="6" l="1"/>
  <c r="AQ6" i="6" s="1"/>
  <c r="AR5" i="6" l="1"/>
  <c r="AR6" i="6" s="1"/>
  <c r="AS5" i="6" l="1"/>
  <c r="AS6" i="6" s="1"/>
  <c r="AT5" i="6" l="1"/>
  <c r="AT6" i="6" s="1"/>
  <c r="AS4" i="6"/>
  <c r="AU5" i="6" l="1"/>
  <c r="AU6" i="6" s="1"/>
  <c r="AV5" i="6" l="1"/>
  <c r="AV6" i="6" s="1"/>
  <c r="AW5" i="6" l="1"/>
  <c r="AW6" i="6" s="1"/>
  <c r="AX5" i="6" l="1"/>
  <c r="AX6" i="6" s="1"/>
  <c r="AY5" i="6" l="1"/>
  <c r="AY6" i="6" s="1"/>
  <c r="AZ5" i="6" l="1"/>
  <c r="AZ6" i="6" s="1"/>
  <c r="AZ4" i="6" l="1"/>
  <c r="BA5" i="6"/>
  <c r="BA6" i="6" s="1"/>
  <c r="BB5" i="6" l="1"/>
  <c r="BB6" i="6" s="1"/>
  <c r="BC5" i="6" l="1"/>
  <c r="BC6" i="6" s="1"/>
  <c r="BD5" i="6" l="1"/>
  <c r="BD6" i="6" s="1"/>
  <c r="BE5" i="6" l="1"/>
  <c r="BE6" i="6" s="1"/>
  <c r="BF5" i="6" l="1"/>
  <c r="BF6" i="6" s="1"/>
  <c r="BG5" i="6" l="1"/>
  <c r="BG6" i="6" s="1"/>
  <c r="BG4" i="6" l="1"/>
  <c r="BH5" i="6"/>
  <c r="BH6" i="6" s="1"/>
  <c r="BI5" i="6" l="1"/>
  <c r="BI6" i="6" s="1"/>
  <c r="BJ5" i="6" l="1"/>
  <c r="BJ6" i="6" s="1"/>
  <c r="BK5" i="6" l="1"/>
  <c r="BK6" i="6" s="1"/>
  <c r="BL5" i="6" l="1"/>
  <c r="BL6" i="6" s="1"/>
  <c r="BM5" i="6" l="1"/>
  <c r="BM6" i="6" s="1"/>
  <c r="F82" i="6" l="1"/>
  <c r="G82" i="6"/>
  <c r="I82" i="6" l="1"/>
  <c r="F6" i="1" l="1"/>
  <c r="G9" i="6"/>
  <c r="I9" i="6" s="1"/>
  <c r="N4" i="2"/>
  <c r="N76" i="3" s="1"/>
  <c r="P17" i="2"/>
  <c r="P4" i="2"/>
  <c r="P10" i="2" l="1"/>
  <c r="F10" i="6" l="1"/>
  <c r="F11" i="6" l="1"/>
  <c r="H11" i="6" s="1"/>
  <c r="G10" i="6"/>
  <c r="I10" i="6" s="1"/>
  <c r="H10" i="6"/>
  <c r="P5" i="2"/>
  <c r="N5" i="2"/>
  <c r="N77" i="3" s="1"/>
  <c r="G11" i="6" l="1"/>
  <c r="I11" i="6" s="1"/>
  <c r="N6" i="2" l="1"/>
  <c r="N78" i="3" s="1"/>
  <c r="P6" i="2"/>
  <c r="F16" i="6" l="1"/>
  <c r="H16" i="6" s="1"/>
  <c r="G16" i="6" l="1"/>
  <c r="I16" i="6" s="1"/>
  <c r="P12" i="2" l="1"/>
  <c r="N12" i="2"/>
  <c r="N82" i="3" s="1"/>
  <c r="E7" i="2" l="1" a="1"/>
  <c r="E7" i="2" s="1"/>
  <c r="L79" i="3" s="1"/>
  <c r="F12" i="6" l="1"/>
  <c r="F7" i="2" a="1"/>
  <c r="F7" i="2" s="1"/>
  <c r="M79" i="3" s="1"/>
  <c r="O7" i="2" l="1"/>
  <c r="O79" i="3" s="1"/>
  <c r="N7" i="2"/>
  <c r="N79" i="3" s="1"/>
  <c r="P7" i="2"/>
  <c r="E8" i="2" a="1"/>
  <c r="E8" i="2" s="1"/>
  <c r="L80" i="3" s="1"/>
  <c r="G12" i="6"/>
  <c r="I12" i="6" s="1"/>
  <c r="H12" i="6"/>
  <c r="F13" i="6" l="1"/>
  <c r="F8" i="2" a="1"/>
  <c r="F8" i="2" s="1"/>
  <c r="M80" i="3" s="1"/>
  <c r="O8" i="2" l="1"/>
  <c r="O80" i="3" s="1"/>
  <c r="E11" i="2" a="1"/>
  <c r="E11" i="2" s="1"/>
  <c r="L81" i="3" s="1"/>
  <c r="N8" i="2"/>
  <c r="E13" i="2" a="1"/>
  <c r="E13" i="2" s="1"/>
  <c r="L83" i="3" s="1"/>
  <c r="P8" i="2"/>
  <c r="G13" i="6"/>
  <c r="I13" i="6" s="1"/>
  <c r="E9" i="2"/>
  <c r="H13" i="6"/>
  <c r="E4" i="3" a="1"/>
  <c r="D5" i="3" a="1"/>
  <c r="N9" i="2" l="1"/>
  <c r="N80" i="3"/>
  <c r="E4" i="3"/>
  <c r="D5" i="3"/>
  <c r="F7" i="1" s="1"/>
  <c r="P9" i="2"/>
  <c r="F17" i="6"/>
  <c r="F13" i="2" a="1"/>
  <c r="F13" i="2" s="1"/>
  <c r="M83" i="3" s="1"/>
  <c r="F15" i="6"/>
  <c r="F11" i="2" a="1"/>
  <c r="F11" i="2" s="1"/>
  <c r="M81" i="3" s="1"/>
  <c r="N13" i="2" l="1"/>
  <c r="N83" i="3" s="1"/>
  <c r="G17" i="6"/>
  <c r="I17" i="6" s="1"/>
  <c r="P13" i="2"/>
  <c r="E14" i="2" a="1"/>
  <c r="E14" i="2" s="1"/>
  <c r="L84" i="3" s="1"/>
  <c r="P11" i="2"/>
  <c r="G15" i="6"/>
  <c r="I15" i="6" s="1"/>
  <c r="N11" i="2"/>
  <c r="N81" i="3" s="1"/>
  <c r="O13" i="2"/>
  <c r="O83" i="3" s="1"/>
  <c r="H17" i="6"/>
  <c r="O11" i="2"/>
  <c r="O81" i="3" s="1"/>
  <c r="H15" i="6"/>
  <c r="K4" i="3"/>
  <c r="F40" i="3"/>
  <c r="B40" i="3"/>
  <c r="G6" i="1"/>
  <c r="H6" i="1" s="1"/>
  <c r="F18" i="6" l="1"/>
  <c r="F14" i="2" a="1"/>
  <c r="F14" i="2" s="1"/>
  <c r="M84" i="3" s="1"/>
  <c r="H18" i="6" l="1"/>
  <c r="P14" i="2"/>
  <c r="N14" i="2"/>
  <c r="N84" i="3" s="1"/>
  <c r="G18" i="6"/>
  <c r="I18" i="6" s="1"/>
  <c r="E15" i="2" a="1"/>
  <c r="E15" i="2" s="1"/>
  <c r="L85" i="3" s="1"/>
  <c r="O14" i="2"/>
  <c r="O84" i="3" s="1"/>
  <c r="F19" i="6" l="1"/>
  <c r="F15" i="2" a="1"/>
  <c r="F15" i="2" s="1"/>
  <c r="E16" i="2" l="1"/>
  <c r="P16" i="2" s="1"/>
  <c r="M85" i="3"/>
  <c r="N15" i="2"/>
  <c r="P15" i="2"/>
  <c r="G19" i="6"/>
  <c r="I19" i="6" s="1"/>
  <c r="O15" i="2"/>
  <c r="O85" i="3" s="1"/>
  <c r="H19" i="6"/>
  <c r="E5" i="3" a="1"/>
  <c r="E5" i="3" l="1"/>
  <c r="B41" i="3" s="1"/>
  <c r="N16" i="2"/>
  <c r="N85" i="3"/>
  <c r="E19" i="2" a="1"/>
  <c r="E19" i="2" s="1"/>
  <c r="L87" i="3" s="1"/>
  <c r="K5" i="3" l="1"/>
  <c r="G7" i="1"/>
  <c r="H7" i="1" s="1"/>
  <c r="F19" i="2" a="1"/>
  <c r="F19" i="2" s="1"/>
  <c r="F22" i="6"/>
  <c r="O19" i="2" l="1"/>
  <c r="O87" i="3" s="1"/>
  <c r="M87" i="3"/>
  <c r="H22" i="6"/>
  <c r="P19" i="2"/>
  <c r="G22" i="6"/>
  <c r="I22" i="6" s="1"/>
  <c r="N19" i="2"/>
  <c r="N87" i="3" s="1"/>
  <c r="E20" i="2" a="1"/>
  <c r="E20" i="2" s="1"/>
  <c r="L88" i="3" s="1"/>
  <c r="E18" i="2" a="1"/>
  <c r="E18" i="2" s="1"/>
  <c r="L86" i="3" s="1"/>
  <c r="D6" i="3" a="1"/>
  <c r="D6" i="3" l="1"/>
  <c r="F18" i="2" a="1"/>
  <c r="F18" i="2" s="1"/>
  <c r="M86" i="3" s="1"/>
  <c r="F23" i="6"/>
  <c r="F20" i="2" a="1"/>
  <c r="F20" i="2" s="1"/>
  <c r="F21" i="6"/>
  <c r="O20" i="2" l="1"/>
  <c r="O88" i="3" s="1"/>
  <c r="M88" i="3"/>
  <c r="N20" i="2"/>
  <c r="N88" i="3" s="1"/>
  <c r="P20" i="2"/>
  <c r="G23" i="6"/>
  <c r="I23" i="6" s="1"/>
  <c r="E21" i="2" a="1"/>
  <c r="E21" i="2" s="1"/>
  <c r="L89" i="3" s="1"/>
  <c r="H23" i="6"/>
  <c r="N18" i="2"/>
  <c r="N86" i="3" s="1"/>
  <c r="G21" i="6"/>
  <c r="I21" i="6" s="1"/>
  <c r="P18" i="2"/>
  <c r="H21" i="6"/>
  <c r="O18" i="2"/>
  <c r="O86" i="3" s="1"/>
  <c r="F8" i="1"/>
  <c r="F24" i="6" l="1"/>
  <c r="F21" i="2" a="1"/>
  <c r="F21" i="2" s="1"/>
  <c r="M89" i="3" s="1"/>
  <c r="B4" i="10" l="1" a="1"/>
  <c r="N21" i="2"/>
  <c r="N89" i="3" s="1"/>
  <c r="P21" i="2"/>
  <c r="G24" i="6"/>
  <c r="I24" i="6" s="1"/>
  <c r="E22" i="2" a="1"/>
  <c r="E22" i="2" s="1"/>
  <c r="L90" i="3" s="1"/>
  <c r="O21" i="2"/>
  <c r="O89" i="3" s="1"/>
  <c r="H24" i="6"/>
  <c r="N17" i="10" l="1"/>
  <c r="O17" i="10"/>
  <c r="N16" i="10"/>
  <c r="N12" i="10"/>
  <c r="O5" i="10"/>
  <c r="O7" i="10"/>
  <c r="O12" i="10"/>
  <c r="N8" i="10"/>
  <c r="N11" i="10"/>
  <c r="B4" i="10"/>
  <c r="O11" i="10"/>
  <c r="V1" i="10"/>
  <c r="O10" i="10"/>
  <c r="O13" i="10"/>
  <c r="O8" i="10"/>
  <c r="O4" i="10"/>
  <c r="O16" i="10"/>
  <c r="O9" i="10"/>
  <c r="O15" i="10"/>
  <c r="N5" i="10"/>
  <c r="S3" i="10"/>
  <c r="N15" i="10"/>
  <c r="N6" i="10"/>
  <c r="O6" i="10"/>
  <c r="N14" i="10"/>
  <c r="N10" i="10"/>
  <c r="N9" i="10"/>
  <c r="N13" i="10"/>
  <c r="N4" i="10"/>
  <c r="O14" i="10"/>
  <c r="T3" i="10" a="1"/>
  <c r="T3" i="10" s="1"/>
  <c r="N7" i="10"/>
  <c r="F25" i="6"/>
  <c r="F22" i="2" a="1"/>
  <c r="F22" i="2" s="1"/>
  <c r="P14" i="10" l="1"/>
  <c r="P17" i="10"/>
  <c r="P7" i="10"/>
  <c r="P12" i="10"/>
  <c r="P9" i="10"/>
  <c r="P11" i="10"/>
  <c r="P10" i="10"/>
  <c r="P16" i="10"/>
  <c r="P13" i="10"/>
  <c r="P5" i="10"/>
  <c r="P8" i="10"/>
  <c r="P15" i="10"/>
  <c r="P6" i="10"/>
  <c r="P4" i="10"/>
  <c r="R5" i="10" a="1"/>
  <c r="R5" i="10" s="1"/>
  <c r="T1" i="10"/>
  <c r="O22" i="2"/>
  <c r="O90" i="3" s="1"/>
  <c r="M90" i="3"/>
  <c r="V15" i="2" s="1" a="1"/>
  <c r="V15" i="2" s="1"/>
  <c r="T17" i="2" s="1" a="1"/>
  <c r="T17" i="2" s="1"/>
  <c r="H25" i="6"/>
  <c r="E26" i="2" a="1"/>
  <c r="E26" i="2" s="1"/>
  <c r="L92" i="3" s="1"/>
  <c r="E24" i="2" a="1"/>
  <c r="E24" i="2" s="1"/>
  <c r="P24" i="2" s="1"/>
  <c r="E27" i="2" a="1"/>
  <c r="E27" i="2" s="1"/>
  <c r="L93" i="3" s="1"/>
  <c r="P22" i="2"/>
  <c r="G25" i="6"/>
  <c r="I25" i="6" s="1"/>
  <c r="N22" i="2"/>
  <c r="E25" i="2" a="1"/>
  <c r="E25" i="2" s="1"/>
  <c r="L91" i="3" s="1"/>
  <c r="E28" i="2" a="1"/>
  <c r="E28" i="2" s="1"/>
  <c r="L94" i="3" s="1"/>
  <c r="E23" i="2"/>
  <c r="D7" i="3" a="1"/>
  <c r="E6" i="3" a="1"/>
  <c r="N23" i="2" l="1"/>
  <c r="N90" i="3"/>
  <c r="E6" i="3"/>
  <c r="D7" i="3"/>
  <c r="F9" i="1" s="1"/>
  <c r="P23" i="2"/>
  <c r="F29" i="6"/>
  <c r="F27" i="2" a="1"/>
  <c r="F27" i="2" s="1"/>
  <c r="F26" i="2" a="1"/>
  <c r="F26" i="2" s="1"/>
  <c r="M92" i="3" s="1"/>
  <c r="F28" i="6"/>
  <c r="F30" i="6"/>
  <c r="F28" i="2" a="1"/>
  <c r="F28" i="2" s="1"/>
  <c r="M94" i="3" s="1"/>
  <c r="F27" i="6"/>
  <c r="F25" i="2" a="1"/>
  <c r="F25" i="2" s="1"/>
  <c r="M91" i="3" s="1"/>
  <c r="O27" i="2" l="1"/>
  <c r="O93" i="3" s="1"/>
  <c r="M93" i="3"/>
  <c r="N26" i="2"/>
  <c r="N92" i="3" s="1"/>
  <c r="G28" i="6"/>
  <c r="I28" i="6" s="1"/>
  <c r="P26" i="2"/>
  <c r="N25" i="2"/>
  <c r="N91" i="3" s="1"/>
  <c r="P25" i="2"/>
  <c r="G27" i="6"/>
  <c r="I27" i="6" s="1"/>
  <c r="O25" i="2"/>
  <c r="O91" i="3" s="1"/>
  <c r="E31" i="2" a="1"/>
  <c r="E31" i="2" s="1"/>
  <c r="P31" i="2" s="1"/>
  <c r="E35" i="2" a="1"/>
  <c r="E35" i="2" s="1"/>
  <c r="L99" i="3" s="1"/>
  <c r="P28" i="2"/>
  <c r="G30" i="6"/>
  <c r="I30" i="6" s="1"/>
  <c r="E34" i="2" a="1"/>
  <c r="E34" i="2" s="1"/>
  <c r="L98" i="3" s="1"/>
  <c r="N28" i="2"/>
  <c r="N94" i="3" s="1"/>
  <c r="E33" i="2" a="1"/>
  <c r="E33" i="2" s="1"/>
  <c r="L97" i="3" s="1"/>
  <c r="E32" i="2" a="1"/>
  <c r="E32" i="2" s="1"/>
  <c r="L96" i="3" s="1"/>
  <c r="E36" i="2" a="1"/>
  <c r="E36" i="2" s="1"/>
  <c r="L100" i="3" s="1"/>
  <c r="E29" i="2" a="1"/>
  <c r="E29" i="2" s="1"/>
  <c r="H29" i="6"/>
  <c r="O26" i="2"/>
  <c r="O92" i="3" s="1"/>
  <c r="H27" i="6"/>
  <c r="O28" i="2"/>
  <c r="O94" i="3" s="1"/>
  <c r="N27" i="2"/>
  <c r="N93" i="3" s="1"/>
  <c r="P27" i="2"/>
  <c r="G29" i="6"/>
  <c r="I29" i="6" s="1"/>
  <c r="H30" i="6"/>
  <c r="H28" i="6"/>
  <c r="G8" i="1"/>
  <c r="H8" i="1" s="1"/>
  <c r="B42" i="3"/>
  <c r="K6" i="3"/>
  <c r="D8" i="3" a="1"/>
  <c r="L95" i="3" l="1"/>
  <c r="F31" i="6"/>
  <c r="H31" i="6" s="1"/>
  <c r="D8" i="3"/>
  <c r="F10" i="1" s="1"/>
  <c r="F34" i="6"/>
  <c r="F33" i="2" a="1"/>
  <c r="F33" i="2" s="1"/>
  <c r="M97" i="3" s="1"/>
  <c r="F33" i="6"/>
  <c r="F32" i="2" a="1"/>
  <c r="F32" i="2" s="1"/>
  <c r="M96" i="3" s="1"/>
  <c r="F37" i="6"/>
  <c r="F36" i="2" a="1"/>
  <c r="F36" i="2" s="1"/>
  <c r="F29" i="2" a="1"/>
  <c r="F29" i="2" s="1"/>
  <c r="F35" i="6"/>
  <c r="F34" i="2" a="1"/>
  <c r="F34" i="2" s="1"/>
  <c r="F36" i="6"/>
  <c r="F35" i="2" a="1"/>
  <c r="F35" i="2" s="1"/>
  <c r="M99" i="3" s="1"/>
  <c r="M95" i="3" l="1"/>
  <c r="G31" i="6"/>
  <c r="I31" i="6" s="1"/>
  <c r="O36" i="2"/>
  <c r="O100" i="3" s="1"/>
  <c r="M100" i="3"/>
  <c r="O34" i="2"/>
  <c r="O98" i="3" s="1"/>
  <c r="M98" i="3"/>
  <c r="P33" i="2"/>
  <c r="N33" i="2"/>
  <c r="N97" i="3" s="1"/>
  <c r="G34" i="6"/>
  <c r="I34" i="6" s="1"/>
  <c r="H37" i="6"/>
  <c r="H34" i="6"/>
  <c r="N32" i="2"/>
  <c r="N96" i="3" s="1"/>
  <c r="G33" i="6"/>
  <c r="I33" i="6" s="1"/>
  <c r="P32" i="2"/>
  <c r="E37" i="2"/>
  <c r="G35" i="6"/>
  <c r="I35" i="6" s="1"/>
  <c r="P34" i="2"/>
  <c r="N34" i="2"/>
  <c r="N98" i="3" s="1"/>
  <c r="H35" i="6"/>
  <c r="N29" i="2"/>
  <c r="P29" i="2"/>
  <c r="E30" i="2"/>
  <c r="O29" i="2"/>
  <c r="O95" i="3" s="1"/>
  <c r="O32" i="2"/>
  <c r="O96" i="3" s="1"/>
  <c r="P35" i="2"/>
  <c r="N35" i="2"/>
  <c r="N99" i="3" s="1"/>
  <c r="G36" i="6"/>
  <c r="I36" i="6" s="1"/>
  <c r="H36" i="6"/>
  <c r="O35" i="2"/>
  <c r="O99" i="3" s="1"/>
  <c r="H33" i="6"/>
  <c r="E38" i="2" a="1"/>
  <c r="E38" i="2" s="1"/>
  <c r="P38" i="2" s="1"/>
  <c r="E41" i="2" a="1"/>
  <c r="E41" i="2" s="1"/>
  <c r="L103" i="3" s="1"/>
  <c r="G37" i="6"/>
  <c r="I37" i="6" s="1"/>
  <c r="P36" i="2"/>
  <c r="N36" i="2"/>
  <c r="N100" i="3" s="1"/>
  <c r="E42" i="2" a="1"/>
  <c r="E42" i="2" s="1"/>
  <c r="L104" i="3" s="1"/>
  <c r="E40" i="2" a="1"/>
  <c r="E40" i="2" s="1"/>
  <c r="L102" i="3" s="1"/>
  <c r="E39" i="2" a="1"/>
  <c r="E39" i="2" s="1"/>
  <c r="L101" i="3" s="1"/>
  <c r="E43" i="2" a="1"/>
  <c r="E43" i="2" s="1"/>
  <c r="L105" i="3" s="1"/>
  <c r="O33" i="2"/>
  <c r="O97" i="3" s="1"/>
  <c r="E8" i="3" a="1"/>
  <c r="E7" i="3" a="1"/>
  <c r="D9" i="3" a="1"/>
  <c r="N30" i="2" l="1"/>
  <c r="N95" i="3"/>
  <c r="N37" i="2"/>
  <c r="D9" i="3"/>
  <c r="F11" i="1" s="1"/>
  <c r="E7" i="3"/>
  <c r="E8" i="3"/>
  <c r="F41" i="2" a="1"/>
  <c r="F41" i="2" s="1"/>
  <c r="F41" i="6"/>
  <c r="F43" i="6"/>
  <c r="F43" i="2" a="1"/>
  <c r="F43" i="2" s="1"/>
  <c r="F39" i="6"/>
  <c r="F39" i="2" a="1"/>
  <c r="F39" i="2" s="1"/>
  <c r="P30" i="2"/>
  <c r="P37" i="2"/>
  <c r="F40" i="6"/>
  <c r="F40" i="2" a="1"/>
  <c r="F40" i="2" s="1"/>
  <c r="M102" i="3" s="1"/>
  <c r="F42" i="2" a="1"/>
  <c r="F42" i="2" s="1"/>
  <c r="M104" i="3" s="1"/>
  <c r="F42" i="6"/>
  <c r="O43" i="2" l="1"/>
  <c r="O105" i="3" s="1"/>
  <c r="M105" i="3"/>
  <c r="O39" i="2"/>
  <c r="O101" i="3" s="1"/>
  <c r="M101" i="3"/>
  <c r="O41" i="2"/>
  <c r="O103" i="3" s="1"/>
  <c r="M103" i="3"/>
  <c r="H41" i="6"/>
  <c r="H40" i="6"/>
  <c r="H43" i="6"/>
  <c r="G42" i="6"/>
  <c r="I42" i="6" s="1"/>
  <c r="N42" i="2"/>
  <c r="N104" i="3" s="1"/>
  <c r="P42" i="2"/>
  <c r="O42" i="2"/>
  <c r="O104" i="3" s="1"/>
  <c r="N41" i="2"/>
  <c r="N103" i="3" s="1"/>
  <c r="P41" i="2"/>
  <c r="G41" i="6"/>
  <c r="I41" i="6" s="1"/>
  <c r="H42" i="6"/>
  <c r="G40" i="6"/>
  <c r="I40" i="6" s="1"/>
  <c r="P40" i="2"/>
  <c r="N40" i="2"/>
  <c r="N102" i="3" s="1"/>
  <c r="K8" i="3"/>
  <c r="G10" i="1"/>
  <c r="H10" i="1" s="1"/>
  <c r="B44" i="3"/>
  <c r="N39" i="2"/>
  <c r="N101" i="3" s="1"/>
  <c r="G39" i="6"/>
  <c r="I39" i="6" s="1"/>
  <c r="P39" i="2"/>
  <c r="E44" i="2"/>
  <c r="O40" i="2"/>
  <c r="O102" i="3" s="1"/>
  <c r="H39" i="6"/>
  <c r="G9" i="1"/>
  <c r="H9" i="1" s="1"/>
  <c r="K7" i="3"/>
  <c r="B43" i="3"/>
  <c r="E45" i="2" a="1"/>
  <c r="E45" i="2" s="1"/>
  <c r="P45" i="2" s="1"/>
  <c r="E52" i="2" a="1"/>
  <c r="E52" i="2" s="1"/>
  <c r="P52" i="2" s="1"/>
  <c r="E48" i="2" a="1"/>
  <c r="E48" i="2" s="1"/>
  <c r="L108" i="3" s="1"/>
  <c r="E50" i="2" a="1"/>
  <c r="E50" i="2" s="1"/>
  <c r="L110" i="3" s="1"/>
  <c r="E46" i="2" a="1"/>
  <c r="E46" i="2" s="1"/>
  <c r="L106" i="3" s="1"/>
  <c r="E49" i="2" a="1"/>
  <c r="E49" i="2" s="1"/>
  <c r="L109" i="3" s="1"/>
  <c r="N43" i="2"/>
  <c r="N105" i="3" s="1"/>
  <c r="G43" i="6"/>
  <c r="I43" i="6" s="1"/>
  <c r="P43" i="2"/>
  <c r="E54" i="2" a="1"/>
  <c r="E54" i="2" s="1"/>
  <c r="L112" i="3" s="1"/>
  <c r="E53" i="2" a="1"/>
  <c r="E53" i="2" s="1"/>
  <c r="L111" i="3" s="1"/>
  <c r="E55" i="2" a="1"/>
  <c r="E55" i="2" s="1"/>
  <c r="L113" i="3" s="1"/>
  <c r="E47" i="2" a="1"/>
  <c r="E47" i="2" s="1"/>
  <c r="L107" i="3" s="1"/>
  <c r="E9" i="3" a="1"/>
  <c r="D10" i="3" a="1"/>
  <c r="D11" i="3" a="1"/>
  <c r="N44" i="2" l="1"/>
  <c r="D10" i="3"/>
  <c r="F12" i="1" s="1"/>
  <c r="D11" i="3"/>
  <c r="F13" i="1" s="1"/>
  <c r="E9" i="3"/>
  <c r="F50" i="2" a="1"/>
  <c r="F50" i="2" s="1"/>
  <c r="F49" i="6"/>
  <c r="F48" i="6"/>
  <c r="F49" i="2" a="1"/>
  <c r="F49" i="2" s="1"/>
  <c r="M109" i="3" s="1"/>
  <c r="F46" i="6"/>
  <c r="F47" i="2" a="1"/>
  <c r="F47" i="2" s="1"/>
  <c r="M107" i="3" s="1"/>
  <c r="F45" i="6"/>
  <c r="F46" i="2" a="1"/>
  <c r="F46" i="2" s="1"/>
  <c r="M106" i="3" s="1"/>
  <c r="F51" i="6"/>
  <c r="F53" i="2" a="1"/>
  <c r="F53" i="2" s="1"/>
  <c r="F47" i="6"/>
  <c r="F48" i="2" a="1"/>
  <c r="F48" i="2" s="1"/>
  <c r="M108" i="3" s="1"/>
  <c r="F55" i="2" a="1"/>
  <c r="F55" i="2" s="1"/>
  <c r="F53" i="6"/>
  <c r="F52" i="6"/>
  <c r="F54" i="2" a="1"/>
  <c r="F54" i="2" s="1"/>
  <c r="P44" i="2"/>
  <c r="O53" i="2" l="1"/>
  <c r="O111" i="3" s="1"/>
  <c r="M111" i="3"/>
  <c r="O54" i="2"/>
  <c r="O112" i="3" s="1"/>
  <c r="M112" i="3"/>
  <c r="O50" i="2"/>
  <c r="O110" i="3" s="1"/>
  <c r="M110" i="3"/>
  <c r="O55" i="2"/>
  <c r="O113" i="3" s="1"/>
  <c r="M113" i="3"/>
  <c r="P49" i="2"/>
  <c r="N49" i="2"/>
  <c r="N109" i="3" s="1"/>
  <c r="G48" i="6"/>
  <c r="I48" i="6" s="1"/>
  <c r="N46" i="2"/>
  <c r="N106" i="3" s="1"/>
  <c r="G45" i="6"/>
  <c r="I45" i="6" s="1"/>
  <c r="P46" i="2"/>
  <c r="E51" i="2"/>
  <c r="H48" i="6"/>
  <c r="O46" i="2"/>
  <c r="O106" i="3" s="1"/>
  <c r="H49" i="6"/>
  <c r="H51" i="6"/>
  <c r="H45" i="6"/>
  <c r="H52" i="6"/>
  <c r="N47" i="2"/>
  <c r="N107" i="3" s="1"/>
  <c r="G46" i="6"/>
  <c r="I46" i="6" s="1"/>
  <c r="P47" i="2"/>
  <c r="E56" i="2" a="1"/>
  <c r="E56" i="2" s="1"/>
  <c r="L114" i="3" s="1"/>
  <c r="G49" i="6"/>
  <c r="I49" i="6" s="1"/>
  <c r="P50" i="2"/>
  <c r="N50" i="2"/>
  <c r="N110" i="3" s="1"/>
  <c r="G52" i="6"/>
  <c r="I52" i="6" s="1"/>
  <c r="N54" i="2"/>
  <c r="N112" i="3" s="1"/>
  <c r="P54" i="2"/>
  <c r="P55" i="2"/>
  <c r="N55" i="2"/>
  <c r="N113" i="3" s="1"/>
  <c r="G53" i="6"/>
  <c r="I53" i="6" s="1"/>
  <c r="O47" i="2"/>
  <c r="O107" i="3" s="1"/>
  <c r="G11" i="1"/>
  <c r="H11" i="1" s="1"/>
  <c r="B45" i="3"/>
  <c r="K9" i="3"/>
  <c r="H47" i="6"/>
  <c r="N48" i="2"/>
  <c r="N108" i="3" s="1"/>
  <c r="P48" i="2"/>
  <c r="G47" i="6"/>
  <c r="I47" i="6" s="1"/>
  <c r="H46" i="6"/>
  <c r="N53" i="2"/>
  <c r="N111" i="3" s="1"/>
  <c r="P53" i="2"/>
  <c r="G51" i="6"/>
  <c r="I51" i="6" s="1"/>
  <c r="H53" i="6"/>
  <c r="O48" i="2"/>
  <c r="O108" i="3" s="1"/>
  <c r="O49" i="2"/>
  <c r="O109" i="3" s="1"/>
  <c r="E10" i="3" a="1"/>
  <c r="N51" i="2" l="1"/>
  <c r="E10" i="3"/>
  <c r="P51" i="2"/>
  <c r="F54" i="6"/>
  <c r="F56" i="2" a="1"/>
  <c r="F56" i="2" s="1"/>
  <c r="M114" i="3" s="1"/>
  <c r="G54" i="6" l="1"/>
  <c r="I54" i="6" s="1"/>
  <c r="N56" i="2"/>
  <c r="N114" i="3" s="1"/>
  <c r="P56" i="2"/>
  <c r="E57" i="2" a="1"/>
  <c r="E57" i="2" s="1"/>
  <c r="L115" i="3" s="1"/>
  <c r="O56" i="2"/>
  <c r="O114" i="3" s="1"/>
  <c r="H54" i="6"/>
  <c r="B46" i="3"/>
  <c r="K10" i="3"/>
  <c r="G12" i="1"/>
  <c r="H12" i="1" s="1"/>
  <c r="F55" i="6" l="1"/>
  <c r="F57" i="2" a="1"/>
  <c r="F57" i="2" s="1"/>
  <c r="M115" i="3" s="1"/>
  <c r="O57" i="2" l="1"/>
  <c r="O115" i="3" s="1"/>
  <c r="E58" i="2"/>
  <c r="E62" i="2" a="1"/>
  <c r="E62" i="2" s="1"/>
  <c r="L118" i="3" s="1"/>
  <c r="G55" i="6"/>
  <c r="I55" i="6" s="1"/>
  <c r="P57" i="2"/>
  <c r="N57" i="2"/>
  <c r="E59" i="2" a="1"/>
  <c r="E59" i="2" s="1"/>
  <c r="P59" i="2" s="1"/>
  <c r="E61" i="2" a="1"/>
  <c r="E61" i="2" s="1"/>
  <c r="L117" i="3" s="1"/>
  <c r="E63" i="2" a="1"/>
  <c r="E63" i="2" s="1"/>
  <c r="L119" i="3" s="1"/>
  <c r="E60" i="2" a="1"/>
  <c r="E60" i="2" s="1"/>
  <c r="L116" i="3" s="1"/>
  <c r="E64" i="2" a="1"/>
  <c r="E64" i="2" s="1"/>
  <c r="L120" i="3" s="1"/>
  <c r="H55" i="6"/>
  <c r="E11" i="3" a="1"/>
  <c r="D12" i="3" a="1"/>
  <c r="N58" i="2" l="1"/>
  <c r="N115" i="3"/>
  <c r="E11" i="3"/>
  <c r="P58" i="2"/>
  <c r="D12" i="3"/>
  <c r="F14" i="1" s="1"/>
  <c r="F57" i="6"/>
  <c r="F60" i="2" a="1"/>
  <c r="F60" i="2" s="1"/>
  <c r="M116" i="3" s="1"/>
  <c r="O10" i="4" s="1" a="1"/>
  <c r="O10" i="4" s="1"/>
  <c r="F58" i="6"/>
  <c r="F61" i="2" a="1"/>
  <c r="F61" i="2" s="1"/>
  <c r="M117" i="3" s="1"/>
  <c r="F60" i="6"/>
  <c r="F63" i="2" a="1"/>
  <c r="F63" i="2" s="1"/>
  <c r="F61" i="6"/>
  <c r="F64" i="2" a="1"/>
  <c r="F64" i="2" s="1"/>
  <c r="F62" i="2" a="1"/>
  <c r="F62" i="2" s="1"/>
  <c r="M118" i="3" s="1"/>
  <c r="F59" i="6"/>
  <c r="O63" i="2" l="1"/>
  <c r="O119" i="3" s="1"/>
  <c r="M119" i="3"/>
  <c r="O64" i="2"/>
  <c r="O120" i="3" s="1"/>
  <c r="M120" i="3"/>
  <c r="B47" i="3"/>
  <c r="K11" i="3"/>
  <c r="G13" i="1"/>
  <c r="H13" i="1" s="1"/>
  <c r="N62" i="2"/>
  <c r="N118" i="3" s="1"/>
  <c r="G59" i="6"/>
  <c r="I59" i="6" s="1"/>
  <c r="P62" i="2"/>
  <c r="H59" i="6"/>
  <c r="H60" i="6"/>
  <c r="O62" i="2"/>
  <c r="O118" i="3" s="1"/>
  <c r="H58" i="6"/>
  <c r="N60" i="2"/>
  <c r="N116" i="3" s="1"/>
  <c r="E65" i="2"/>
  <c r="G57" i="6"/>
  <c r="I57" i="6" s="1"/>
  <c r="P60" i="2"/>
  <c r="G58" i="6"/>
  <c r="I58" i="6" s="1"/>
  <c r="N61" i="2"/>
  <c r="N117" i="3" s="1"/>
  <c r="P61" i="2"/>
  <c r="O61" i="2"/>
  <c r="O117" i="3" s="1"/>
  <c r="H61" i="6"/>
  <c r="H57" i="6"/>
  <c r="E73" i="2" a="1"/>
  <c r="E73" i="2" s="1"/>
  <c r="P73" i="2" s="1"/>
  <c r="E66" i="2" a="1"/>
  <c r="E66" i="2" s="1"/>
  <c r="P66" i="2" s="1"/>
  <c r="E68" i="2" a="1"/>
  <c r="E68" i="2" s="1"/>
  <c r="L122" i="3" s="1"/>
  <c r="G61" i="6"/>
  <c r="I61" i="6" s="1"/>
  <c r="N64" i="2"/>
  <c r="N120" i="3" s="1"/>
  <c r="E67" i="2" a="1"/>
  <c r="E67" i="2" s="1"/>
  <c r="L121" i="3" s="1"/>
  <c r="P64" i="2"/>
  <c r="E69" i="2" a="1"/>
  <c r="E69" i="2" s="1"/>
  <c r="L123" i="3" s="1"/>
  <c r="E70" i="2" a="1"/>
  <c r="E70" i="2" s="1"/>
  <c r="L124" i="3" s="1"/>
  <c r="E74" i="2" a="1"/>
  <c r="E74" i="2" s="1"/>
  <c r="L126" i="3" s="1"/>
  <c r="E71" i="2" a="1"/>
  <c r="E71" i="2" s="1"/>
  <c r="L125" i="3" s="1"/>
  <c r="O60" i="2"/>
  <c r="O116" i="3" s="1"/>
  <c r="N63" i="2"/>
  <c r="N119" i="3" s="1"/>
  <c r="P63" i="2"/>
  <c r="G60" i="6"/>
  <c r="I60" i="6" s="1"/>
  <c r="E12" i="3" a="1"/>
  <c r="D13" i="3" a="1"/>
  <c r="N65" i="2" l="1"/>
  <c r="D13" i="3"/>
  <c r="F15" i="1" s="1"/>
  <c r="E12" i="3"/>
  <c r="F66" i="6"/>
  <c r="F70" i="2" a="1"/>
  <c r="F70" i="2" s="1"/>
  <c r="M124" i="3" s="1"/>
  <c r="F69" i="2" a="1"/>
  <c r="F69" i="2" s="1"/>
  <c r="M123" i="3" s="1"/>
  <c r="F65" i="6"/>
  <c r="F69" i="6"/>
  <c r="F74" i="2" a="1"/>
  <c r="F74" i="2" s="1"/>
  <c r="M126" i="3" s="1"/>
  <c r="F63" i="6"/>
  <c r="F67" i="2" a="1"/>
  <c r="F67" i="2" s="1"/>
  <c r="M121" i="3" s="1"/>
  <c r="P65" i="2"/>
  <c r="F67" i="6"/>
  <c r="F71" i="2" a="1"/>
  <c r="F71" i="2" s="1"/>
  <c r="M125" i="3" s="1"/>
  <c r="F68" i="2" a="1"/>
  <c r="F68" i="2" s="1"/>
  <c r="F64" i="6"/>
  <c r="O68" i="2" l="1"/>
  <c r="O122" i="3" s="1"/>
  <c r="M122" i="3"/>
  <c r="N70" i="2"/>
  <c r="N124" i="3" s="1"/>
  <c r="P70" i="2"/>
  <c r="G66" i="6"/>
  <c r="I66" i="6" s="1"/>
  <c r="P69" i="2"/>
  <c r="N69" i="2"/>
  <c r="N123" i="3" s="1"/>
  <c r="G65" i="6"/>
  <c r="I65" i="6" s="1"/>
  <c r="H63" i="6"/>
  <c r="H66" i="6"/>
  <c r="H65" i="6"/>
  <c r="N74" i="2"/>
  <c r="N126" i="3" s="1"/>
  <c r="G69" i="6"/>
  <c r="I69" i="6" s="1"/>
  <c r="P74" i="2"/>
  <c r="O70" i="2"/>
  <c r="O124" i="3" s="1"/>
  <c r="E75" i="2" a="1"/>
  <c r="E75" i="2" s="1"/>
  <c r="L127" i="3" s="1"/>
  <c r="G67" i="6"/>
  <c r="I67" i="6" s="1"/>
  <c r="N71" i="2"/>
  <c r="N125" i="3" s="1"/>
  <c r="P71" i="2"/>
  <c r="E76" i="2" a="1"/>
  <c r="E76" i="2" s="1"/>
  <c r="L128" i="3" s="1"/>
  <c r="O74" i="2"/>
  <c r="O126" i="3" s="1"/>
  <c r="G14" i="1"/>
  <c r="H14" i="1" s="1"/>
  <c r="B48" i="3"/>
  <c r="K12" i="3"/>
  <c r="G63" i="6"/>
  <c r="I63" i="6" s="1"/>
  <c r="N67" i="2"/>
  <c r="N121" i="3" s="1"/>
  <c r="P67" i="2"/>
  <c r="E72" i="2"/>
  <c r="H64" i="6"/>
  <c r="O67" i="2"/>
  <c r="O121" i="3" s="1"/>
  <c r="O71" i="2"/>
  <c r="O125" i="3" s="1"/>
  <c r="H69" i="6"/>
  <c r="P68" i="2"/>
  <c r="G64" i="6"/>
  <c r="I64" i="6" s="1"/>
  <c r="N68" i="2"/>
  <c r="N122" i="3" s="1"/>
  <c r="H67" i="6"/>
  <c r="O69" i="2"/>
  <c r="O123" i="3" s="1"/>
  <c r="E13" i="3" a="1"/>
  <c r="D14" i="3" a="1"/>
  <c r="D14" i="3" l="1"/>
  <c r="F16" i="1" s="1"/>
  <c r="N72" i="2"/>
  <c r="E13" i="3"/>
  <c r="F71" i="6"/>
  <c r="F76" i="2" a="1"/>
  <c r="F76" i="2" s="1"/>
  <c r="P72" i="2"/>
  <c r="F75" i="2" a="1"/>
  <c r="F75" i="2" s="1"/>
  <c r="M127" i="3" s="1"/>
  <c r="F70" i="6"/>
  <c r="E78" i="2" l="1" a="1"/>
  <c r="E78" i="2" s="1"/>
  <c r="F78" i="2" s="1" a="1"/>
  <c r="F78" i="2" s="1"/>
  <c r="P78" i="2" s="1"/>
  <c r="M128" i="3"/>
  <c r="F73" i="6"/>
  <c r="H73" i="6" s="1"/>
  <c r="E77" i="2" a="1"/>
  <c r="E77" i="2" s="1"/>
  <c r="L129" i="3" s="1"/>
  <c r="P76" i="2"/>
  <c r="N76" i="2"/>
  <c r="N128" i="3" s="1"/>
  <c r="G71" i="6"/>
  <c r="I71" i="6" s="1"/>
  <c r="H71" i="6"/>
  <c r="O76" i="2"/>
  <c r="O128" i="3" s="1"/>
  <c r="P75" i="2"/>
  <c r="N75" i="2"/>
  <c r="N127" i="3" s="1"/>
  <c r="G70" i="6"/>
  <c r="I70" i="6" s="1"/>
  <c r="O75" i="2"/>
  <c r="O127" i="3" s="1"/>
  <c r="B49" i="3"/>
  <c r="G15" i="1"/>
  <c r="H15" i="1" s="1"/>
  <c r="K13" i="3"/>
  <c r="H70" i="6"/>
  <c r="N78" i="2" l="1"/>
  <c r="O78" i="2"/>
  <c r="G73" i="6"/>
  <c r="I73" i="6" s="1"/>
  <c r="F77" i="2" a="1"/>
  <c r="F77" i="2" s="1"/>
  <c r="M129" i="3" s="1"/>
  <c r="F72" i="6"/>
  <c r="E87" i="2" l="1" a="1"/>
  <c r="E87" i="2" s="1"/>
  <c r="E92" i="2" a="1"/>
  <c r="E92" i="2" s="1"/>
  <c r="F92" i="2" s="1" a="1"/>
  <c r="F92" i="2" s="1"/>
  <c r="E91" i="2" a="1"/>
  <c r="E91" i="2" s="1"/>
  <c r="F91" i="2" s="1" a="1"/>
  <c r="F91" i="2" s="1"/>
  <c r="E90" i="2" a="1"/>
  <c r="E90" i="2" s="1"/>
  <c r="F90" i="2" s="1" a="1"/>
  <c r="F90" i="2" s="1"/>
  <c r="E89" i="2" a="1"/>
  <c r="E89" i="2" s="1"/>
  <c r="E81" i="2" a="1"/>
  <c r="E81" i="2" s="1"/>
  <c r="E82" i="2" a="1"/>
  <c r="E82" i="2" s="1"/>
  <c r="F76" i="6" s="1"/>
  <c r="H76" i="6" s="1"/>
  <c r="E85" i="2" a="1"/>
  <c r="E85" i="2" s="1"/>
  <c r="F85" i="2" s="1" a="1"/>
  <c r="F85" i="2" s="1"/>
  <c r="E83" i="2" a="1"/>
  <c r="E83" i="2" s="1"/>
  <c r="F83" i="2" s="1" a="1"/>
  <c r="F83" i="2" s="1"/>
  <c r="E84" i="2" a="1"/>
  <c r="E84" i="2" s="1"/>
  <c r="F84" i="2" s="1" a="1"/>
  <c r="F84" i="2" s="1"/>
  <c r="E79" i="2"/>
  <c r="P79" i="2" s="1"/>
  <c r="E80" i="2" a="1"/>
  <c r="E80" i="2" s="1"/>
  <c r="P80" i="2" s="1"/>
  <c r="H72" i="6"/>
  <c r="N77" i="2"/>
  <c r="G72" i="6"/>
  <c r="I72" i="6" s="1"/>
  <c r="P77" i="2"/>
  <c r="O77" i="2"/>
  <c r="O129" i="3" s="1"/>
  <c r="D15" i="3" a="1"/>
  <c r="E14" i="3" a="1"/>
  <c r="N79" i="2" l="1"/>
  <c r="N129" i="3"/>
  <c r="D9" i="4" s="1" a="1"/>
  <c r="D9" i="4" s="1"/>
  <c r="F81" i="2" a="1"/>
  <c r="F81" i="2" s="1"/>
  <c r="F75" i="6"/>
  <c r="H75" i="6" s="1"/>
  <c r="D15" i="3"/>
  <c r="F17" i="1" s="1"/>
  <c r="F82" i="2" a="1"/>
  <c r="F82" i="2" s="1"/>
  <c r="F89" i="2" a="1"/>
  <c r="F89" i="2" s="1"/>
  <c r="P87" i="2"/>
  <c r="O90" i="2"/>
  <c r="P90" i="2"/>
  <c r="N90" i="2"/>
  <c r="O91" i="2"/>
  <c r="N91" i="2"/>
  <c r="P91" i="2"/>
  <c r="O92" i="2"/>
  <c r="N92" i="2"/>
  <c r="P92" i="2"/>
  <c r="O83" i="2"/>
  <c r="P83" i="2"/>
  <c r="N83" i="2"/>
  <c r="O85" i="2"/>
  <c r="P85" i="2"/>
  <c r="N85" i="2"/>
  <c r="O84" i="2"/>
  <c r="N84" i="2"/>
  <c r="P84" i="2"/>
  <c r="E14" i="3"/>
  <c r="G16" i="1" s="1"/>
  <c r="H16" i="1" s="1"/>
  <c r="K10" i="4" l="1"/>
  <c r="K11" i="4"/>
  <c r="K13" i="4"/>
  <c r="K14" i="4"/>
  <c r="K12" i="4"/>
  <c r="K17" i="4"/>
  <c r="K15" i="4"/>
  <c r="K16" i="4"/>
  <c r="K9" i="4"/>
  <c r="Q8" i="4"/>
  <c r="M12" i="4" s="1" a="1"/>
  <c r="M12" i="4" s="1"/>
  <c r="G75" i="6"/>
  <c r="I75" i="6" s="1"/>
  <c r="E88" i="2" a="1"/>
  <c r="E88" i="2" s="1"/>
  <c r="P81" i="2"/>
  <c r="O81" i="2"/>
  <c r="O82" i="2"/>
  <c r="G76" i="6"/>
  <c r="I76" i="6" s="1"/>
  <c r="N81" i="2"/>
  <c r="E86" i="2"/>
  <c r="P82" i="2"/>
  <c r="N82" i="2"/>
  <c r="P89" i="2"/>
  <c r="N89" i="2"/>
  <c r="O89" i="2"/>
  <c r="B50" i="3"/>
  <c r="K14" i="3"/>
  <c r="D16" i="3" a="1"/>
  <c r="E15" i="3" a="1"/>
  <c r="O8" i="4" l="1"/>
  <c r="D16" i="3"/>
  <c r="F18" i="1" s="1"/>
  <c r="F88" i="2" a="1"/>
  <c r="F88" i="2" s="1"/>
  <c r="G81" i="6" s="1"/>
  <c r="F81" i="6"/>
  <c r="H81" i="6" s="1"/>
  <c r="N86" i="2"/>
  <c r="E15" i="3"/>
  <c r="P86" i="2"/>
  <c r="I81" i="6" l="1"/>
  <c r="K1" i="2"/>
  <c r="L3" i="6" s="1"/>
  <c r="O88" i="2"/>
  <c r="E93" i="2"/>
  <c r="P88" i="2"/>
  <c r="N88" i="2"/>
  <c r="N93" i="2" s="1"/>
  <c r="T25" i="3" a="1"/>
  <c r="T25" i="3" s="1"/>
  <c r="V25" i="3" a="1"/>
  <c r="V25" i="3" s="1"/>
  <c r="B51" i="3"/>
  <c r="K15" i="3"/>
  <c r="G17" i="1"/>
  <c r="H17" i="1" s="1"/>
  <c r="E16" i="3" a="1"/>
  <c r="E16" i="3" l="1"/>
  <c r="P93" i="2"/>
  <c r="K16" i="3" l="1"/>
  <c r="G18" i="1"/>
  <c r="H18" i="1" s="1"/>
  <c r="F19" i="3" a="1"/>
  <c r="F19" i="3" s="1"/>
  <c r="D19" i="3" a="1"/>
  <c r="D19" i="3" s="1"/>
  <c r="B52" i="3"/>
  <c r="D27" i="3" l="1" a="1"/>
  <c r="D27" i="3" s="1"/>
  <c r="F35" i="3" s="1"/>
  <c r="D35" i="3" a="1"/>
  <c r="D35" i="3" s="1"/>
  <c r="D30" i="3" a="1"/>
  <c r="D30" i="3" s="1"/>
  <c r="D36" i="3" a="1"/>
  <c r="D36" i="3" s="1"/>
  <c r="D29" i="3" a="1"/>
  <c r="D29" i="3" s="1"/>
  <c r="D28" i="3" a="1"/>
  <c r="D28" i="3" s="1"/>
  <c r="D33" i="3" a="1"/>
  <c r="D33" i="3" s="1"/>
  <c r="D32" i="3" a="1"/>
  <c r="D32" i="3" s="1"/>
  <c r="D34" i="3" a="1"/>
  <c r="D34" i="3" s="1"/>
  <c r="D31" i="3" a="1"/>
  <c r="D31" i="3" s="1"/>
  <c r="J2" i="1"/>
  <c r="O3" i="1"/>
  <c r="G33" i="3" a="1"/>
  <c r="G33" i="3" s="1"/>
  <c r="H33" i="3" s="1"/>
  <c r="F33" i="3" a="1"/>
  <c r="F33"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tesh</author>
  </authors>
  <commentList>
    <comment ref="G1" authorId="0" shapeId="0" xr:uid="{26261E7B-F8E3-49E7-AA1A-5D04A30EE6F8}">
      <text>
        <r>
          <rPr>
            <b/>
            <sz val="9"/>
            <color indexed="81"/>
            <rFont val="Tahoma"/>
            <family val="2"/>
          </rPr>
          <t>(Use all 20 roles for better performance)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3EF631-731E-47CE-B90A-8DEE43D83BED}" keepAlive="1" name="Query - Names" description="Connection to the 'Names' query in the workbook." type="5" refreshedVersion="0" background="1">
    <dbPr connection="Provider=Microsoft.Mashup.OleDb.1;Data Source=$Workbook$;Location=Names;Extended Properties=&quot;&quot;" command="SELECT * FROM [Nam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<sst xmlns="http://schemas.openxmlformats.org/spreadsheetml/2006/main" count="1055" uniqueCount="454">
  <si>
    <t>Project</t>
  </si>
  <si>
    <t>Task 1</t>
  </si>
  <si>
    <t>Task 2</t>
  </si>
  <si>
    <t>Task 3</t>
  </si>
  <si>
    <t>Task 4</t>
  </si>
  <si>
    <t>Task 5</t>
  </si>
  <si>
    <t>Ref</t>
  </si>
  <si>
    <t>Date</t>
  </si>
  <si>
    <t>Type</t>
  </si>
  <si>
    <t>End Date</t>
  </si>
  <si>
    <t>PCT</t>
  </si>
  <si>
    <t>Status</t>
  </si>
  <si>
    <t>N/A</t>
  </si>
  <si>
    <t>Not Applicable</t>
  </si>
  <si>
    <t>Not Started/Issue</t>
  </si>
  <si>
    <t>Initiated</t>
  </si>
  <si>
    <t>Plan Created</t>
  </si>
  <si>
    <t>Work Started</t>
  </si>
  <si>
    <t>Work in Progress</t>
  </si>
  <si>
    <t>Nearly Completed</t>
  </si>
  <si>
    <t>Review</t>
  </si>
  <si>
    <t>Ready to Close</t>
  </si>
  <si>
    <t xml:space="preserve">Closed </t>
  </si>
  <si>
    <t>Effort</t>
  </si>
  <si>
    <t>Boxing Day</t>
  </si>
  <si>
    <t>Christmas Day</t>
  </si>
  <si>
    <t>Day</t>
  </si>
  <si>
    <t>Notes</t>
  </si>
  <si>
    <t>Assigned To</t>
  </si>
  <si>
    <t>Project Reference</t>
  </si>
  <si>
    <t>Start</t>
  </si>
  <si>
    <t>End</t>
  </si>
  <si>
    <t>Project Helper Table</t>
  </si>
  <si>
    <t>Overall Progress</t>
  </si>
  <si>
    <t>Years</t>
  </si>
  <si>
    <t>ProjectMonths</t>
  </si>
  <si>
    <t>ref</t>
  </si>
  <si>
    <t>a</t>
  </si>
  <si>
    <t>b</t>
  </si>
  <si>
    <t>c</t>
  </si>
  <si>
    <t>d</t>
  </si>
  <si>
    <t>e</t>
  </si>
  <si>
    <t>f</t>
  </si>
  <si>
    <t>g</t>
  </si>
  <si>
    <t>Available In Project</t>
  </si>
  <si>
    <t>Selected Month and Year</t>
  </si>
  <si>
    <t>Mon</t>
  </si>
  <si>
    <t>Tue</t>
  </si>
  <si>
    <t>Wed</t>
  </si>
  <si>
    <t>Thu</t>
  </si>
  <si>
    <t>Fri</t>
  </si>
  <si>
    <t>Sat</t>
  </si>
  <si>
    <t>Sun</t>
  </si>
  <si>
    <t>Project Reference:</t>
  </si>
  <si>
    <t>PCT%</t>
  </si>
  <si>
    <t>Done</t>
  </si>
  <si>
    <t>To Do</t>
  </si>
  <si>
    <t>Line Chart Data</t>
  </si>
  <si>
    <t>Height</t>
  </si>
  <si>
    <t>Axis</t>
  </si>
  <si>
    <t>1.1.1</t>
  </si>
  <si>
    <t>1.1.2</t>
  </si>
  <si>
    <t>1.1.3</t>
  </si>
  <si>
    <t>1.1.4</t>
  </si>
  <si>
    <t>1.1.5</t>
  </si>
  <si>
    <t>1.2.1</t>
  </si>
  <si>
    <t>1.2.2</t>
  </si>
  <si>
    <t>1.2.3</t>
  </si>
  <si>
    <t>1.2.4</t>
  </si>
  <si>
    <t>1.2.5</t>
  </si>
  <si>
    <t>2.1.1</t>
  </si>
  <si>
    <t>2.1.2</t>
  </si>
  <si>
    <t>2.1.3</t>
  </si>
  <si>
    <t>2.1.4</t>
  </si>
  <si>
    <t>2.2.1</t>
  </si>
  <si>
    <t>2.2.4</t>
  </si>
  <si>
    <t>2.2.5</t>
  </si>
  <si>
    <t>3.1.1</t>
  </si>
  <si>
    <t>Project Summary</t>
  </si>
  <si>
    <t>Story</t>
  </si>
  <si>
    <t xml:space="preserve">Start </t>
  </si>
  <si>
    <t>.</t>
  </si>
  <si>
    <t>Selected</t>
  </si>
  <si>
    <t>New Year’s Day</t>
  </si>
  <si>
    <t>Good Friday</t>
  </si>
  <si>
    <t>Easter Monday</t>
  </si>
  <si>
    <t>Early May bank holiday</t>
  </si>
  <si>
    <t>Spring bank holiday</t>
  </si>
  <si>
    <t>Summer bank holiday</t>
  </si>
  <si>
    <t>Title</t>
  </si>
  <si>
    <t>EndDate</t>
  </si>
  <si>
    <t>h</t>
  </si>
  <si>
    <t xml:space="preserve"> Effort</t>
  </si>
  <si>
    <t xml:space="preserve"> Days</t>
  </si>
  <si>
    <t>Remaining</t>
  </si>
  <si>
    <t>StartDate</t>
  </si>
  <si>
    <t>Staff</t>
  </si>
  <si>
    <t>Name</t>
  </si>
  <si>
    <t>Role</t>
  </si>
  <si>
    <t>Un-Assigned</t>
  </si>
  <si>
    <t>Start Date</t>
  </si>
  <si>
    <t>Elapse</t>
  </si>
  <si>
    <t>Identify and Document Non-Functional Requirements</t>
  </si>
  <si>
    <t>Holiday</t>
  </si>
  <si>
    <t>Bank Holidays</t>
  </si>
  <si>
    <t>Product Owner</t>
  </si>
  <si>
    <t>Tester</t>
  </si>
  <si>
    <t>Architect</t>
  </si>
  <si>
    <t>Technical Lead</t>
  </si>
  <si>
    <t>DevOps Engineer</t>
  </si>
  <si>
    <t>UX Designer</t>
  </si>
  <si>
    <t>Server Developer</t>
  </si>
  <si>
    <t>Business Analyst</t>
  </si>
  <si>
    <t>Frontend Developer</t>
  </si>
  <si>
    <t>Database Developer</t>
  </si>
  <si>
    <t>Performance Lead</t>
  </si>
  <si>
    <t>END</t>
  </si>
  <si>
    <t>START</t>
  </si>
  <si>
    <t>PROGRESS</t>
  </si>
  <si>
    <t>ASSIGNED
TO</t>
  </si>
  <si>
    <t>TASK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</si>
  <si>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</si>
  <si>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Display Week:</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</si>
  <si>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</si>
  <si>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t>
  </si>
  <si>
    <t>Enter Company Name in cell B2.</t>
  </si>
  <si>
    <t>Select Month &amp; Year:</t>
  </si>
  <si>
    <t>Start Date:</t>
  </si>
  <si>
    <t>REF</t>
  </si>
  <si>
    <t>Go</t>
  </si>
  <si>
    <t>Dependency</t>
  </si>
  <si>
    <t>Weeks Used</t>
  </si>
  <si>
    <t>Used</t>
  </si>
  <si>
    <t>check</t>
  </si>
  <si>
    <t>*Re-Apply Filters (Data)</t>
  </si>
  <si>
    <t>At Least One Holiday</t>
  </si>
  <si>
    <t xml:space="preserve">Project Schedule </t>
  </si>
  <si>
    <t>Project Plan</t>
  </si>
  <si>
    <t>Staff Holidays</t>
  </si>
  <si>
    <t>Staff Listing</t>
  </si>
  <si>
    <t>Project Title</t>
  </si>
  <si>
    <t>Key Features</t>
  </si>
  <si>
    <t>Project Start Date</t>
  </si>
  <si>
    <t>Automatic Date Calculation</t>
  </si>
  <si>
    <t>Dynamic Gantt Chart</t>
  </si>
  <si>
    <t>1.1.0</t>
  </si>
  <si>
    <t>ProjectSchedule</t>
  </si>
  <si>
    <t>ProjectPlan</t>
  </si>
  <si>
    <t>Information</t>
  </si>
  <si>
    <t>ProjectSummary</t>
  </si>
  <si>
    <t>Dates</t>
  </si>
  <si>
    <t>Ref Number</t>
  </si>
  <si>
    <t>Filters</t>
  </si>
  <si>
    <t>Macros</t>
  </si>
  <si>
    <t>This spreadsheet does not contain any Macros or VBA code.</t>
  </si>
  <si>
    <t>START Wk</t>
  </si>
  <si>
    <t>Gantt chart for visualising timelines and tracking task progress over time.</t>
  </si>
  <si>
    <t>Filters can be used to tidy up views, but remember to re-apply filters after making changes.</t>
  </si>
  <si>
    <t>2.1.0</t>
  </si>
  <si>
    <t>Gathering Requirements</t>
  </si>
  <si>
    <r>
      <t xml:space="preserve">In the Project Plan, </t>
    </r>
    <r>
      <rPr>
        <b/>
        <sz val="16"/>
        <color theme="1"/>
        <rFont val="Aptos Narrow"/>
        <family val="2"/>
        <scheme val="minor"/>
      </rPr>
      <t>at least one reference number must exist</t>
    </r>
    <r>
      <rPr>
        <sz val="16"/>
        <color theme="1"/>
        <rFont val="Aptos Narrow"/>
        <family val="2"/>
        <scheme val="minor"/>
      </rPr>
      <t xml:space="preserve">, starting with "1.1.0" and following this format. Each task must have a </t>
    </r>
    <r>
      <rPr>
        <b/>
        <sz val="16"/>
        <color theme="1"/>
        <rFont val="Aptos Narrow"/>
        <family val="2"/>
        <scheme val="minor"/>
      </rPr>
      <t>unique reference number</t>
    </r>
    <r>
      <rPr>
        <sz val="16"/>
        <color theme="1"/>
        <rFont val="Aptos Narrow"/>
        <family val="2"/>
        <scheme val="minor"/>
      </rPr>
      <t>. If a task is not required, do not enter a reference number, as it is used in date calculation logic and will result in an incorrect project plan.</t>
    </r>
  </si>
  <si>
    <r>
      <t xml:space="preserve">Reference data </t>
    </r>
    <r>
      <rPr>
        <b/>
        <sz val="16"/>
        <color theme="1"/>
        <rFont val="Aptos Narrow"/>
        <family val="2"/>
        <scheme val="minor"/>
      </rPr>
      <t>values must be</t>
    </r>
    <r>
      <rPr>
        <sz val="16"/>
        <color theme="1"/>
        <rFont val="Aptos Narrow"/>
        <family val="2"/>
        <scheme val="minor"/>
      </rPr>
      <t xml:space="preserve"> </t>
    </r>
    <r>
      <rPr>
        <b/>
        <sz val="16"/>
        <color theme="1"/>
        <rFont val="Aptos Narrow"/>
        <family val="2"/>
        <scheme val="minor"/>
      </rPr>
      <t>unique</t>
    </r>
    <r>
      <rPr>
        <sz val="16"/>
        <color theme="1"/>
        <rFont val="Aptos Narrow"/>
        <family val="2"/>
        <scheme val="minor"/>
      </rPr>
      <t>, and at least one entry must exist for each table (Bank Holidays, Staff Holidays, and Staff).</t>
    </r>
  </si>
  <si>
    <r>
      <t xml:space="preserve">The Project Summary feature allows users to drill down into specific months, highlighting start dates, end dates, and the count of different task statuses.
</t>
    </r>
    <r>
      <rPr>
        <b/>
        <sz val="16"/>
        <color theme="1"/>
        <rFont val="Aptos Narrow"/>
        <family val="2"/>
        <scheme val="minor"/>
      </rPr>
      <t xml:space="preserve">End dates take priority over start dates </t>
    </r>
    <r>
      <rPr>
        <sz val="16"/>
        <color theme="1"/>
        <rFont val="Aptos Narrow"/>
        <family val="2"/>
        <scheme val="minor"/>
      </rPr>
      <t>and are used to calculate the number of statuses in the month.</t>
    </r>
  </si>
  <si>
    <t>Note</t>
  </si>
  <si>
    <t>Start_Date</t>
  </si>
  <si>
    <t>End_Date</t>
  </si>
  <si>
    <t>Holiday Type</t>
  </si>
  <si>
    <t>Holiday-Planned</t>
  </si>
  <si>
    <t>Holiday-Unplanned</t>
  </si>
  <si>
    <t>Issue with Task</t>
  </si>
  <si>
    <t>External Issue</t>
  </si>
  <si>
    <t>Resource Issue</t>
  </si>
  <si>
    <t>Misc</t>
  </si>
  <si>
    <t>Date Generator</t>
  </si>
  <si>
    <t>Project Information</t>
  </si>
  <si>
    <t>Set the Story/Project short code, Project Title, and Project Start Date, which are used on various pages.</t>
  </si>
  <si>
    <t>User Stories to Functional Mapping and Enhancements</t>
  </si>
  <si>
    <t>Staff Requires at least one date</t>
  </si>
  <si>
    <t>Applying Holidays</t>
  </si>
  <si>
    <t xml:space="preserve">Staff List </t>
  </si>
  <si>
    <t>Gather Requirements and Define User Stories</t>
  </si>
  <si>
    <t>Agree Stakeholder Expectations after Initial Review</t>
  </si>
  <si>
    <t>1.2.0</t>
  </si>
  <si>
    <t>Define Requirements</t>
  </si>
  <si>
    <t>Identify New Functionality and Enhancements</t>
  </si>
  <si>
    <t>Prioritise Stories and Requirements with Stakeholders</t>
  </si>
  <si>
    <t>Publish Documents to Internal Stakeholders and Update</t>
  </si>
  <si>
    <t>1.3.0</t>
  </si>
  <si>
    <t>System Architecture Design</t>
  </si>
  <si>
    <t>1.3.1</t>
  </si>
  <si>
    <t>Document and Agree Key Performance Indicators</t>
  </si>
  <si>
    <t>1.3.2</t>
  </si>
  <si>
    <t>Create Workflow Diagrams and a Product Plan</t>
  </si>
  <si>
    <t>1.3.3</t>
  </si>
  <si>
    <t>Develop High-Level Technical Specifications</t>
  </si>
  <si>
    <t>1.3.4</t>
  </si>
  <si>
    <t>Review and Agree Designs with Lead Stakeholders</t>
  </si>
  <si>
    <t>1.3.5</t>
  </si>
  <si>
    <t>Start GUI and Server Component Development, and API Implementation</t>
  </si>
  <si>
    <t>Design and Plan GUI Development</t>
  </si>
  <si>
    <t>Create Wireframes and Mockups. Identify Default Values Required for Trading.</t>
  </si>
  <si>
    <t>Identify User Data Flow for Optimal User Experience</t>
  </si>
  <si>
    <t>Develop a Test Plan: Usability, Configuration, etc.</t>
  </si>
  <si>
    <t>Create a Roadmap and Agree on the Plan</t>
  </si>
  <si>
    <t>2.2.0</t>
  </si>
  <si>
    <t>Design and Plan Server-Side Development</t>
  </si>
  <si>
    <t>Design and Set Up the Database</t>
  </si>
  <si>
    <t>2.2.2</t>
  </si>
  <si>
    <t>Develop Endpoints for the API</t>
  </si>
  <si>
    <t>2.2.3</t>
  </si>
  <si>
    <t>Develop Core Business Logic Services for the App</t>
  </si>
  <si>
    <t>Integrate with Market Data (Internal, External, etc.)</t>
  </si>
  <si>
    <t>2.3.0</t>
  </si>
  <si>
    <t>Plan GUI and Server-Side Testing</t>
  </si>
  <si>
    <t>2.3.1</t>
  </si>
  <si>
    <t>Plan and Document Tests for the Backend Server</t>
  </si>
  <si>
    <t>2.3.2</t>
  </si>
  <si>
    <t>Document Unit Tests for Electronic Messaging</t>
  </si>
  <si>
    <t>2.3.3</t>
  </si>
  <si>
    <t>Document Unit Tests for the Frontend</t>
  </si>
  <si>
    <t>2.3.4</t>
  </si>
  <si>
    <t>Document Tests for All Data Requirements</t>
  </si>
  <si>
    <t>2.3.5</t>
  </si>
  <si>
    <t>Document Performance and Usability Metrics</t>
  </si>
  <si>
    <t>3.1.0</t>
  </si>
  <si>
    <t>Development Plan</t>
  </si>
  <si>
    <t>Develop/Update the Test Plan</t>
  </si>
  <si>
    <t>3.1.2</t>
  </si>
  <si>
    <t>Execute Tests</t>
  </si>
  <si>
    <t>3.1.3</t>
  </si>
  <si>
    <t>Log Bugs and Update Documents</t>
  </si>
  <si>
    <t>3.1.4</t>
  </si>
  <si>
    <t>Conduct System Reliability and Performance Testing</t>
  </si>
  <si>
    <t>3.1.5</t>
  </si>
  <si>
    <t>Obtain Product Management and Senior Stakeholder Sign-Off</t>
  </si>
  <si>
    <t>4.1.0</t>
  </si>
  <si>
    <t>Phase 1 Development</t>
  </si>
  <si>
    <t>4.1.1</t>
  </si>
  <si>
    <t>Server Components</t>
  </si>
  <si>
    <t>4.1.2</t>
  </si>
  <si>
    <t>Frontend</t>
  </si>
  <si>
    <t>4.1.3</t>
  </si>
  <si>
    <t>Database</t>
  </si>
  <si>
    <t>4.1.4</t>
  </si>
  <si>
    <t>Testing</t>
  </si>
  <si>
    <t>4.1.5</t>
  </si>
  <si>
    <t>4.2.0</t>
  </si>
  <si>
    <t>4.2.1</t>
  </si>
  <si>
    <t>Full UAT deployment</t>
  </si>
  <si>
    <t>4.2.2</t>
  </si>
  <si>
    <t xml:space="preserve">UAT Sever </t>
  </si>
  <si>
    <t>4.2.3</t>
  </si>
  <si>
    <t>UAT Frontend</t>
  </si>
  <si>
    <t>4.2.4</t>
  </si>
  <si>
    <t>UAT Data</t>
  </si>
  <si>
    <t>4.2.5</t>
  </si>
  <si>
    <t>UAT Performance</t>
  </si>
  <si>
    <t>4.3.0</t>
  </si>
  <si>
    <t>4.3.1</t>
  </si>
  <si>
    <t>Full PRE-PROD deployment</t>
  </si>
  <si>
    <t>4.3.2</t>
  </si>
  <si>
    <t xml:space="preserve"> PRE-PROD  Sever </t>
  </si>
  <si>
    <t>4.3.3</t>
  </si>
  <si>
    <t xml:space="preserve"> PRE-PROD  Frontend</t>
  </si>
  <si>
    <t>4.3.4</t>
  </si>
  <si>
    <t xml:space="preserve"> PRE-PROD  Data</t>
  </si>
  <si>
    <t>4.3.5</t>
  </si>
  <si>
    <t xml:space="preserve"> PRE-PROD  Performance and Monitoring</t>
  </si>
  <si>
    <t>5.1.0</t>
  </si>
  <si>
    <t>Finalise Plan for Production</t>
  </si>
  <si>
    <t>5.1.1</t>
  </si>
  <si>
    <t>Create a Stakeholder Report and Agree on a Go-Live Date</t>
  </si>
  <si>
    <t>5.1.2</t>
  </si>
  <si>
    <t>Verify Environment Readiness for Go-Live</t>
  </si>
  <si>
    <t>5.1.3</t>
  </si>
  <si>
    <t>Hand Over Production to Support</t>
  </si>
  <si>
    <t>5.1.4</t>
  </si>
  <si>
    <t>Conduct Post-Production Review and Project Retrospectives</t>
  </si>
  <si>
    <t>Analyse and Document Competitor Platforms</t>
  </si>
  <si>
    <t>Higher priority issue</t>
  </si>
  <si>
    <t>Evelyn Hart</t>
  </si>
  <si>
    <t>James Whitmore</t>
  </si>
  <si>
    <t>Priya Sharma</t>
  </si>
  <si>
    <t>Connor Reed</t>
  </si>
  <si>
    <t>Sofia Moreno</t>
  </si>
  <si>
    <t>Liam Gardner</t>
  </si>
  <si>
    <t>Clara Bennett</t>
  </si>
  <si>
    <t>Oliver Nguyen</t>
  </si>
  <si>
    <t>Max Patel</t>
  </si>
  <si>
    <t>Hannah Fletcher</t>
  </si>
  <si>
    <t>Ryan Carter</t>
  </si>
  <si>
    <t>Maya Chen</t>
  </si>
  <si>
    <t>Amelia Thompson</t>
  </si>
  <si>
    <t>Olivia Brooks</t>
  </si>
  <si>
    <t>Adam Kowalski</t>
  </si>
  <si>
    <t>Alex Parker</t>
  </si>
  <si>
    <t>Chloe Martin</t>
  </si>
  <si>
    <t>Solver</t>
  </si>
  <si>
    <t>Roles</t>
  </si>
  <si>
    <t>Infrastructure Team</t>
  </si>
  <si>
    <t>Phase 2 Deployment - UAT</t>
  </si>
  <si>
    <t>Phase 3 Deployment  - PROD</t>
  </si>
  <si>
    <t>prj_automate_reconciliation.doc</t>
  </si>
  <si>
    <t>Notes/Doc Ref/Links</t>
  </si>
  <si>
    <t>New expenditure and commissions system.</t>
  </si>
  <si>
    <t>Project End:</t>
  </si>
  <si>
    <t>SEQ</t>
  </si>
  <si>
    <t>Dynamic Label:</t>
  </si>
  <si>
    <t>Drop Down For Project</t>
  </si>
  <si>
    <t>Operations</t>
  </si>
  <si>
    <t>Sales</t>
  </si>
  <si>
    <t>Marketing</t>
  </si>
  <si>
    <t>HR</t>
  </si>
  <si>
    <t>IT Support/Helpdesk</t>
  </si>
  <si>
    <t>Account Management</t>
  </si>
  <si>
    <t>Finance</t>
  </si>
  <si>
    <t>Un-Assigned Role</t>
  </si>
  <si>
    <t>ColRef</t>
  </si>
  <si>
    <t>RoleRef</t>
  </si>
  <si>
    <t>=IFERROR(TOCOL(FILTER(tbl_staff_list[Name],tbl_staff_list[RoleRef]=D55,),1),"No Staff Assigned")</t>
  </si>
  <si>
    <t>=INDIRECT(X56,TRUE)</t>
  </si>
  <si>
    <t>=IFERROR(IF(AB55=FILTER(tbl_staff_list[Name],tbl_staff_list[Role]=Y55,),FALSE,TRUE),"No Staff Assigned")</t>
  </si>
  <si>
    <t>=IFERROR(IF(STAFF=FILTER(tbl_staff_list[Name],tbl_staff_list[Role]=ROLE,),FALSE,TRUE),"No Staff Assigned")</t>
  </si>
  <si>
    <t>Used_Roles</t>
  </si>
  <si>
    <t>(up to 25 rows generated)</t>
  </si>
  <si>
    <t>Short Code</t>
  </si>
  <si>
    <t>FIN</t>
  </si>
  <si>
    <t>OPS</t>
  </si>
  <si>
    <t>ITS</t>
  </si>
  <si>
    <t>SAL</t>
  </si>
  <si>
    <t>MAR</t>
  </si>
  <si>
    <t>Assigned</t>
  </si>
  <si>
    <t>ShortCode</t>
  </si>
  <si>
    <t>AssigRole</t>
  </si>
  <si>
    <t>Define Objectives and Key Performance Indicators (KPIs,etc.)</t>
  </si>
  <si>
    <t>Plan of Action: Summarise Findings, High Level Objectives and Goals</t>
  </si>
  <si>
    <t>UNAS</t>
  </si>
  <si>
    <t>ARCH</t>
  </si>
  <si>
    <t>BANA</t>
  </si>
  <si>
    <t>DBDE</t>
  </si>
  <si>
    <t>DEVO</t>
  </si>
  <si>
    <t>FROD</t>
  </si>
  <si>
    <t>PERL</t>
  </si>
  <si>
    <t>PROD</t>
  </si>
  <si>
    <t>SERD</t>
  </si>
  <si>
    <t>TECL</t>
  </si>
  <si>
    <t>TEST</t>
  </si>
  <si>
    <t>UXDE</t>
  </si>
  <si>
    <t>INTE</t>
  </si>
  <si>
    <t>ACCM</t>
  </si>
  <si>
    <t>Start Date Adjustment</t>
  </si>
  <si>
    <t>People Operations</t>
  </si>
  <si>
    <t>Desc</t>
  </si>
  <si>
    <t>=FILTER(CHOOSE({1,2,3,4}, tbl_AssignRole[Ref], tbl_AssignRole[Desc], tbl_AssignRole[Used],tbl_AssignRole[Assigned]), tbl_AssignRole[Role] = C34, "No match")</t>
  </si>
  <si>
    <t>Task</t>
  </si>
  <si>
    <t>Types</t>
  </si>
  <si>
    <t>Staff Holidays - At least one for each staff member</t>
  </si>
  <si>
    <t xml:space="preserve">Date Generator </t>
  </si>
  <si>
    <t>Parameter</t>
  </si>
  <si>
    <t>Value</t>
  </si>
  <si>
    <t>Document server dataflows and publish</t>
  </si>
  <si>
    <t>Holidays</t>
  </si>
  <si>
    <t>A tool to help generate a list of weekday dates with type and staff for easy copy to staff holiday table.</t>
  </si>
  <si>
    <t>Staff List</t>
  </si>
  <si>
    <t>Project Planner</t>
  </si>
  <si>
    <t>If required a solver can be used to find the best project plan by changing the assigned to.</t>
  </si>
  <si>
    <t>End Date:</t>
  </si>
  <si>
    <t>Frontend Two</t>
  </si>
  <si>
    <t>Actual</t>
  </si>
  <si>
    <t>Estimate</t>
  </si>
  <si>
    <t>Est</t>
  </si>
  <si>
    <t>Done%</t>
  </si>
  <si>
    <t>Chk</t>
  </si>
  <si>
    <t>Diff</t>
  </si>
  <si>
    <t>Start_date</t>
  </si>
  <si>
    <t>Elapsed</t>
  </si>
  <si>
    <t>Check Holidays</t>
  </si>
  <si>
    <t>Select Ref</t>
  </si>
  <si>
    <t xml:space="preserve">Task Start </t>
  </si>
  <si>
    <t>Task End</t>
  </si>
  <si>
    <t>Reason</t>
  </si>
  <si>
    <t>Resolving issue with stakeholder</t>
  </si>
  <si>
    <t>Offsite meeting with client</t>
  </si>
  <si>
    <t>Report</t>
  </si>
  <si>
    <t>STORY</t>
  </si>
  <si>
    <t xml:space="preserve"> Short Code</t>
  </si>
  <si>
    <t>Act</t>
  </si>
  <si>
    <t>Hols</t>
  </si>
  <si>
    <t xml:space="preserve">Staff Roles </t>
  </si>
  <si>
    <t>Used_done</t>
  </si>
  <si>
    <t>Info_task_ref</t>
  </si>
  <si>
    <t>Select Role</t>
  </si>
  <si>
    <t>Used_ref</t>
  </si>
  <si>
    <r>
      <t xml:space="preserve">The Gantt chart automatically updates based on the Project Plan.
Note that the user must specify a </t>
    </r>
    <r>
      <rPr>
        <b/>
        <sz val="16"/>
        <color theme="1"/>
        <rFont val="Aptos Narrow"/>
        <family val="2"/>
        <scheme val="minor"/>
      </rPr>
      <t>Task Name, Effort, and ensure the percentage completed is not set to "N/A" (i.e., 0% or above) to display the task</t>
    </r>
    <r>
      <rPr>
        <sz val="16"/>
        <color theme="1"/>
        <rFont val="Aptos Narrow"/>
        <family val="2"/>
        <scheme val="minor"/>
      </rPr>
      <t>.</t>
    </r>
  </si>
  <si>
    <r>
      <t xml:space="preserve">Project Plan dates are updated based on </t>
    </r>
    <r>
      <rPr>
        <b/>
        <sz val="16"/>
        <color theme="1"/>
        <rFont val="Aptos Narrow"/>
        <family val="2"/>
        <scheme val="minor"/>
      </rPr>
      <t>weekends, bank holidays, staff holidays, task dependencies, task effort, and previous task assignments</t>
    </r>
    <r>
      <rPr>
        <sz val="16"/>
        <color theme="1"/>
        <rFont val="Aptos Narrow"/>
        <family val="2"/>
        <scheme val="minor"/>
      </rPr>
      <t>.</t>
    </r>
  </si>
  <si>
    <r>
      <rPr>
        <b/>
        <sz val="16"/>
        <color theme="1"/>
        <rFont val="Aptos Narrow"/>
        <family val="2"/>
        <scheme val="minor"/>
      </rPr>
      <t>Bank holidays are applied to all staff</t>
    </r>
    <r>
      <rPr>
        <sz val="16"/>
        <color theme="1"/>
        <rFont val="Aptos Narrow"/>
        <family val="2"/>
        <scheme val="minor"/>
      </rPr>
      <t xml:space="preserve">, whereas </t>
    </r>
    <r>
      <rPr>
        <b/>
        <sz val="16"/>
        <color theme="1"/>
        <rFont val="Aptos Narrow"/>
        <family val="2"/>
        <scheme val="minor"/>
      </rPr>
      <t>staff holidays are only applied to the individual staff member based on the start date and end date for a task</t>
    </r>
    <r>
      <rPr>
        <sz val="16"/>
        <color theme="1"/>
        <rFont val="Aptos Narrow"/>
        <family val="2"/>
        <scheme val="minor"/>
      </rPr>
      <t xml:space="preserve">. 
</t>
    </r>
    <r>
      <rPr>
        <b/>
        <sz val="16"/>
        <color theme="1"/>
        <rFont val="Aptos Narrow"/>
        <family val="2"/>
        <scheme val="minor"/>
      </rPr>
      <t>Accurate Date Calculation:</t>
    </r>
    <r>
      <rPr>
        <sz val="16"/>
        <color theme="1"/>
        <rFont val="Aptos Narrow"/>
        <family val="2"/>
        <scheme val="minor"/>
      </rPr>
      <t xml:space="preserve"> Each dependency must be specified for the Automatic Date Calculation to accurately determine start and end dates.
</t>
    </r>
    <r>
      <rPr>
        <b/>
        <sz val="16"/>
        <color theme="1"/>
        <rFont val="Aptos Narrow"/>
        <family val="2"/>
        <scheme val="minor"/>
      </rPr>
      <t>Staff Holiday Reflection:</t>
    </r>
    <r>
      <rPr>
        <sz val="16"/>
        <color theme="1"/>
        <rFont val="Aptos Narrow"/>
        <family val="2"/>
        <scheme val="minor"/>
      </rPr>
      <t xml:space="preserve"> Staff holidays are reflected in the holiday count field. This table can be used to capture additional delays to a project for a given assignee, capturing a reason and notes. This information is useful when carrying out a project review/retrospective.
</t>
    </r>
    <r>
      <rPr>
        <b/>
        <sz val="16"/>
        <color theme="1"/>
        <rFont val="Aptos Narrow"/>
        <family val="2"/>
        <scheme val="minor"/>
      </rPr>
      <t>Holiday Impact on Task Start Dates:</t>
    </r>
    <r>
      <rPr>
        <sz val="16"/>
        <color theme="1"/>
        <rFont val="Aptos Narrow"/>
        <family val="2"/>
        <scheme val="minor"/>
      </rPr>
      <t xml:space="preserve"> If a holiday date coincides with a task's start date, the system automatically shifts the start date to the next available working day. Please note: This automatic shift is not reflected in the holiday count field. Only holidays occurring after a task’s start date are included in the count. You can use the holiday calendar to view the holidays for a given task or by a role.</t>
    </r>
  </si>
  <si>
    <r>
      <t xml:space="preserve">Dates must be in </t>
    </r>
    <r>
      <rPr>
        <b/>
        <sz val="16"/>
        <color theme="1"/>
        <rFont val="Aptos Narrow"/>
        <family val="2"/>
        <scheme val="minor"/>
      </rPr>
      <t>UK format</t>
    </r>
    <r>
      <rPr>
        <sz val="16"/>
        <color theme="1"/>
        <rFont val="Aptos Narrow"/>
        <family val="2"/>
        <scheme val="minor"/>
      </rPr>
      <t>. Other formats are not currently supported (requires testing).</t>
    </r>
  </si>
  <si>
    <t>Project Summary  and Drill Down</t>
  </si>
  <si>
    <t>Rate</t>
  </si>
  <si>
    <t>Daily_Rate</t>
  </si>
  <si>
    <t>Elapsed DAYS</t>
  </si>
  <si>
    <t>E_Cost</t>
  </si>
  <si>
    <t>A_Cost</t>
  </si>
  <si>
    <t>Total</t>
  </si>
  <si>
    <t>All</t>
  </si>
  <si>
    <t>Month</t>
  </si>
  <si>
    <t>Project Budget</t>
  </si>
  <si>
    <t>Estimated</t>
  </si>
  <si>
    <t>By Department</t>
  </si>
  <si>
    <t>Row Labels</t>
  </si>
  <si>
    <t>Grand Total</t>
  </si>
  <si>
    <t>Sum of E_Cost</t>
  </si>
  <si>
    <t>Sum of A_Cost</t>
  </si>
  <si>
    <t>Variance</t>
  </si>
  <si>
    <t>%</t>
  </si>
  <si>
    <t>6.1.0</t>
  </si>
  <si>
    <t>None</t>
  </si>
  <si>
    <t>6.2.0</t>
  </si>
  <si>
    <t>Est £</t>
  </si>
  <si>
    <t>Act £</t>
  </si>
  <si>
    <t>Var %</t>
  </si>
  <si>
    <t>Teddy Smith</t>
  </si>
  <si>
    <t>2.1.5</t>
  </si>
  <si>
    <t>IT Systems and Support - Access</t>
  </si>
  <si>
    <t>Tasks Completed - (Done &gt;90%)</t>
  </si>
  <si>
    <t>Aisha Patel</t>
  </si>
  <si>
    <t>Liam O'Connor</t>
  </si>
  <si>
    <t>Zara Chen</t>
  </si>
  <si>
    <t>Jamal Ahmed</t>
  </si>
  <si>
    <t>Sofia Rodriguez</t>
  </si>
  <si>
    <t>Kwame Osei</t>
  </si>
  <si>
    <t>Yuki Tanaka</t>
  </si>
  <si>
    <t>Alejandro Gomez</t>
  </si>
  <si>
    <t>Fatima Al-Mansour</t>
  </si>
  <si>
    <t>Raj Malhotra</t>
  </si>
  <si>
    <t>Olga Ivanova</t>
  </si>
  <si>
    <t>Johan Moro</t>
  </si>
  <si>
    <t>Budget :</t>
  </si>
  <si>
    <t>Budget Planning</t>
  </si>
  <si>
    <t>Budgets</t>
  </si>
  <si>
    <t>Set costs against staff and track actual costs against budgets.</t>
  </si>
  <si>
    <t>Overall project summary report. Highlight bymonth , overall time-line progress chart and % donet and budget.</t>
  </si>
  <si>
    <t>A report that shows tasks that are completed &gt;90%. Displays all information for the task including budget.</t>
  </si>
  <si>
    <t>This is where you specify  tasks, resources, timelines, dependencies, and other project details.</t>
  </si>
  <si>
    <t>This is where your add you own bank holidays to adjust task durations.</t>
  </si>
  <si>
    <t>See our terms and conditions, click here.</t>
  </si>
  <si>
    <t>Johan Newman</t>
  </si>
  <si>
    <t>Citations:</t>
  </si>
  <si>
    <t>The project planner offers a comprehensive set of features, including automatic date calculation based on various factors like weekends and holidays, a dynamic Gantt chart that updates in real-time, a detailed project summary with drill-down capabilities, and robust budget planning tools to track costs against set budgets.</t>
  </si>
  <si>
    <t>This is where you add staff holidays, dates to adjust task durations and other information related to dates.</t>
  </si>
  <si>
    <t>Specify a list of staff resources used in the project and budgets for their rates.</t>
  </si>
  <si>
    <t>The project planner provides a comprehensive overview of the budget versus actual costs.</t>
  </si>
  <si>
    <t>Do not delete!</t>
  </si>
  <si>
    <t>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</si>
</sst>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quot;£&quot;* #,##0.00_-;_-&quot;£&quot;* &quot;-&quot;??_-;_-@_-"/>
    <numFmt numFmtId="164" formatCode="dddd"/>
    <numFmt numFmtId="165" formatCode="d"/>
    <numFmt numFmtId="166" formatCode="d/m/yy;@"/>
    <numFmt numFmtId="167" formatCode="d\ mmm\ yyyy"/>
    <numFmt numFmtId="168" formatCode="ddd\,\ dd/mm/yyyy"/>
    <numFmt numFmtId="169" formatCode=";;;"/>
    <numFmt numFmtId="170" formatCode="#."/>
    <numFmt numFmtId="171" formatCode="&quot;£&quot;#,##0.00"/>
    <numFmt numFmtId="172" formatCode="&quot;£&quot;#,##0"/>
  </numFmts>
  <fonts count="6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sz val="12"/>
      <color theme="4" tint="-0.499984740745262"/>
      <name val="Aptos Narrow"/>
      <family val="2"/>
      <scheme val="minor"/>
    </font>
    <font>
      <sz val="12"/>
      <color rgb="FFC00000"/>
      <name val="Aptos Narrow"/>
      <family val="2"/>
      <scheme val="minor"/>
    </font>
    <font>
      <sz val="12"/>
      <name val="Aptos Narrow"/>
      <family val="2"/>
      <scheme val="minor"/>
    </font>
    <font>
      <sz val="12"/>
      <color theme="9"/>
      <name val="Aptos Narrow"/>
      <family val="2"/>
      <scheme val="minor"/>
    </font>
    <font>
      <b/>
      <sz val="12"/>
      <color theme="0"/>
      <name val="Aptos Narrow"/>
      <family val="2"/>
      <scheme val="minor"/>
    </font>
    <font>
      <sz val="12"/>
      <color theme="1"/>
      <name val="Aptos Narrow"/>
      <family val="2"/>
      <scheme val="minor"/>
    </font>
    <font>
      <b/>
      <sz val="12"/>
      <color theme="1"/>
      <name val="Aptos Narrow"/>
      <family val="2"/>
      <scheme val="minor"/>
    </font>
    <font>
      <sz val="11"/>
      <color theme="0"/>
      <name val="Aptos Narrow"/>
      <family val="2"/>
      <scheme val="minor"/>
    </font>
    <font>
      <b/>
      <sz val="14"/>
      <color theme="1"/>
      <name val="Aptos Narrow"/>
      <family val="2"/>
      <scheme val="minor"/>
    </font>
    <font>
      <sz val="14"/>
      <name val="Aptos Narrow"/>
      <family val="2"/>
      <scheme val="minor"/>
    </font>
    <font>
      <b/>
      <sz val="18"/>
      <color theme="4"/>
      <name val="Aptos Display"/>
      <family val="2"/>
      <scheme val="major"/>
    </font>
    <font>
      <b/>
      <sz val="12"/>
      <name val="Aptos Narrow"/>
      <family val="2"/>
      <scheme val="minor"/>
    </font>
    <font>
      <b/>
      <sz val="11"/>
      <color theme="0"/>
      <name val="Aptos Narrow"/>
      <family val="2"/>
      <scheme val="minor"/>
    </font>
    <font>
      <b/>
      <sz val="12"/>
      <color rgb="FFC00000"/>
      <name val="Aptos Narrow"/>
      <family val="2"/>
      <scheme val="minor"/>
    </font>
    <font>
      <b/>
      <sz val="12"/>
      <color theme="4" tint="-0.499984740745262"/>
      <name val="Aptos Narrow"/>
      <family val="2"/>
      <scheme val="minor"/>
    </font>
    <font>
      <b/>
      <sz val="12"/>
      <color theme="9"/>
      <name val="Aptos Narrow"/>
      <family val="2"/>
      <scheme val="minor"/>
    </font>
    <font>
      <b/>
      <sz val="18"/>
      <color theme="1"/>
      <name val="Aptos Narrow"/>
      <family val="2"/>
      <scheme val="minor"/>
    </font>
    <font>
      <sz val="11"/>
      <color theme="5" tint="-0.499984740745262"/>
      <name val="Aptos Narrow"/>
      <family val="2"/>
      <scheme val="minor"/>
    </font>
    <font>
      <b/>
      <sz val="12"/>
      <color theme="0"/>
      <name val="Aptos"/>
      <family val="2"/>
    </font>
    <font>
      <b/>
      <sz val="12"/>
      <name val="Aptos"/>
      <family val="2"/>
    </font>
    <font>
      <sz val="12"/>
      <color theme="1"/>
      <name val="Aptos"/>
      <family val="2"/>
    </font>
    <font>
      <sz val="14"/>
      <color theme="1"/>
      <name val="Aptos Narrow"/>
      <family val="2"/>
      <scheme val="minor"/>
    </font>
    <font>
      <b/>
      <sz val="11"/>
      <color rgb="FFFF0000"/>
      <name val="Aptos Narrow"/>
      <family val="2"/>
      <scheme val="minor"/>
    </font>
    <font>
      <b/>
      <sz val="20"/>
      <color theme="4"/>
      <name val="Aptos Display"/>
      <family val="2"/>
      <scheme val="major"/>
    </font>
    <font>
      <u/>
      <sz val="11"/>
      <color indexed="12"/>
      <name val="Arial"/>
      <family val="2"/>
    </font>
    <font>
      <b/>
      <sz val="22"/>
      <color theme="1" tint="0.34998626667073579"/>
      <name val="Aptos Display"/>
      <family val="2"/>
      <scheme val="major"/>
    </font>
    <font>
      <b/>
      <sz val="16"/>
      <color theme="1"/>
      <name val="Aptos Narrow"/>
      <family val="2"/>
      <scheme val="minor"/>
    </font>
    <font>
      <sz val="12"/>
      <color theme="0"/>
      <name val="Aptos Narrow"/>
      <family val="2"/>
      <scheme val="minor"/>
    </font>
    <font>
      <b/>
      <sz val="18"/>
      <color theme="3" tint="0.249977111117893"/>
      <name val="Aptos Display"/>
      <family val="2"/>
      <scheme val="major"/>
    </font>
    <font>
      <b/>
      <sz val="12"/>
      <color theme="4" tint="-0.249977111117893"/>
      <name val="Aptos Display"/>
      <family val="2"/>
      <scheme val="major"/>
    </font>
    <font>
      <b/>
      <sz val="12"/>
      <color theme="0" tint="-0.14999847407452621"/>
      <name val="Aptos Narrow"/>
      <family val="2"/>
      <scheme val="minor"/>
    </font>
    <font>
      <sz val="12"/>
      <color theme="0" tint="-0.14999847407452621"/>
      <name val="Aptos Narrow"/>
      <family val="2"/>
      <scheme val="minor"/>
    </font>
    <font>
      <sz val="12"/>
      <color theme="0" tint="-0.14999847407452621"/>
      <name val="Arial"/>
      <family val="2"/>
    </font>
    <font>
      <b/>
      <sz val="14"/>
      <color theme="3" tint="0.249977111117893"/>
      <name val="Aptos Display"/>
      <family val="2"/>
      <scheme val="major"/>
    </font>
    <font>
      <sz val="18"/>
      <color theme="1"/>
      <name val="Aptos Narrow"/>
      <family val="2"/>
      <scheme val="minor"/>
    </font>
    <font>
      <sz val="16"/>
      <color theme="1"/>
      <name val="Aptos Narrow"/>
      <family val="2"/>
      <scheme val="minor"/>
    </font>
    <font>
      <u/>
      <sz val="11"/>
      <color theme="10"/>
      <name val="Aptos Narrow"/>
      <family val="2"/>
      <scheme val="minor"/>
    </font>
    <font>
      <b/>
      <sz val="12"/>
      <color rgb="FFFF0000"/>
      <name val="Aptos Narrow"/>
      <family val="2"/>
      <scheme val="minor"/>
    </font>
    <font>
      <b/>
      <sz val="16"/>
      <color theme="4"/>
      <name val="Aptos Display"/>
      <family val="2"/>
      <scheme val="major"/>
    </font>
    <font>
      <b/>
      <sz val="12"/>
      <name val="Aptos Display"/>
      <family val="2"/>
      <scheme val="major"/>
    </font>
    <font>
      <u/>
      <sz val="14"/>
      <color theme="3" tint="0.249977111117893"/>
      <name val="Aptos Narrow"/>
      <family val="2"/>
      <scheme val="minor"/>
    </font>
    <font>
      <sz val="12"/>
      <color rgb="FF000000"/>
      <name val="Aptos Narrow"/>
      <family val="2"/>
      <scheme val="minor"/>
    </font>
    <font>
      <sz val="16"/>
      <color rgb="FFFF0000"/>
      <name val="Aptos Narrow"/>
      <family val="2"/>
      <scheme val="minor"/>
    </font>
    <font>
      <b/>
      <sz val="14"/>
      <color theme="4"/>
      <name val="Aptos Display"/>
      <family val="2"/>
      <scheme val="major"/>
    </font>
    <font>
      <b/>
      <sz val="12"/>
      <color theme="4"/>
      <name val="Aptos Display"/>
      <family val="2"/>
      <scheme val="major"/>
    </font>
    <font>
      <b/>
      <sz val="11"/>
      <name val="Aptos Display"/>
      <family val="2"/>
      <scheme val="major"/>
    </font>
    <font>
      <b/>
      <sz val="11"/>
      <name val="Aptos Narrow"/>
      <family val="2"/>
      <scheme val="minor"/>
    </font>
    <font>
      <b/>
      <sz val="16"/>
      <color theme="3" tint="0.249977111117893"/>
      <name val="Aptos Display"/>
      <family val="2"/>
      <scheme val="major"/>
    </font>
    <font>
      <b/>
      <sz val="9"/>
      <color indexed="81"/>
      <name val="Tahoma"/>
      <family val="2"/>
    </font>
    <font>
      <b/>
      <sz val="12"/>
      <color theme="3" tint="0.249977111117893"/>
      <name val="Aptos Display"/>
      <family val="2"/>
      <scheme val="major"/>
    </font>
    <font>
      <b/>
      <sz val="12"/>
      <color theme="4"/>
      <name val="Aptos Narrow"/>
      <family val="2"/>
      <scheme val="minor"/>
    </font>
    <font>
      <u/>
      <sz val="10"/>
      <color theme="10"/>
      <name val="Aptos Narrow"/>
      <family val="2"/>
      <scheme val="minor"/>
    </font>
    <font>
      <b/>
      <sz val="10"/>
      <color theme="1"/>
      <name val="Aptos Narrow"/>
      <family val="2"/>
      <scheme val="minor"/>
    </font>
    <font>
      <sz val="10"/>
      <color theme="1"/>
      <name val="Aptos Narrow"/>
      <family val="2"/>
      <scheme val="minor"/>
    </font>
    <font>
      <sz val="10"/>
      <name val="Aptos Narrow"/>
      <family val="2"/>
      <scheme val="minor"/>
    </font>
    <font>
      <b/>
      <sz val="14"/>
      <color theme="4"/>
      <name val="Aptos Narrow"/>
      <family val="2"/>
      <scheme val="minor"/>
    </font>
    <font>
      <b/>
      <sz val="10"/>
      <color rgb="FFFF0000"/>
      <name val="Aptos Narrow"/>
      <family val="2"/>
      <scheme val="minor"/>
    </font>
    <font>
      <u/>
      <sz val="16"/>
      <color theme="10"/>
      <name val="Aptos Narrow"/>
      <family val="2"/>
      <scheme val="minor"/>
    </font>
  </fonts>
  <fills count="32">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theme="0"/>
        <bgColor indexed="64"/>
      </patternFill>
    </fill>
    <fill>
      <patternFill patternType="solid">
        <fgColor theme="0" tint="-0.14999847407452621"/>
        <bgColor theme="0" tint="-0.14999847407452621"/>
      </patternFill>
    </fill>
    <fill>
      <patternFill patternType="solid">
        <fgColor theme="1"/>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3" tint="0.89999084444715716"/>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14999847407452621"/>
        <bgColor theme="4"/>
      </patternFill>
    </fill>
    <fill>
      <patternFill patternType="solid">
        <fgColor theme="2" tint="-0.249977111117893"/>
        <bgColor indexed="64"/>
      </patternFill>
    </fill>
  </fills>
  <borders count="100">
    <border>
      <left/>
      <right/>
      <top/>
      <bottom/>
      <diagonal/>
    </border>
    <border>
      <left/>
      <right/>
      <top style="thin">
        <color indexed="64"/>
      </top>
      <bottom/>
      <diagonal/>
    </border>
    <border>
      <left/>
      <right/>
      <top/>
      <bottom style="thin">
        <color indexed="64"/>
      </bottom>
      <diagonal/>
    </border>
    <border>
      <left style="thin">
        <color theme="1"/>
      </left>
      <right/>
      <top style="thin">
        <color theme="1"/>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bottom style="medium">
        <color theme="0" tint="-0.14996795556505021"/>
      </bottom>
      <diagonal/>
    </border>
    <border>
      <left/>
      <right/>
      <top style="thin">
        <color theme="0" tint="-0.34998626667073579"/>
      </top>
      <bottom/>
      <diagonal/>
    </border>
    <border>
      <left/>
      <right style="thin">
        <color theme="0" tint="-0.34998626667073579"/>
      </right>
      <top/>
      <bottom/>
      <diagonal/>
    </border>
    <border>
      <left style="thin">
        <color theme="0" tint="-0.34998626667073579"/>
      </left>
      <right/>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medium">
        <color theme="0" tint="-0.14996795556505021"/>
      </top>
      <bottom/>
      <diagonal/>
    </border>
    <border>
      <left/>
      <right/>
      <top style="thin">
        <color indexed="64"/>
      </top>
      <bottom style="thin">
        <color indexed="64"/>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medium">
        <color theme="0"/>
      </left>
      <right style="medium">
        <color theme="0"/>
      </right>
      <top style="medium">
        <color theme="0"/>
      </top>
      <bottom style="medium">
        <color theme="0"/>
      </bottom>
      <diagonal/>
    </border>
    <border>
      <left style="medium">
        <color theme="0"/>
      </left>
      <right/>
      <top/>
      <bottom/>
      <diagonal/>
    </border>
    <border>
      <left style="medium">
        <color theme="0"/>
      </left>
      <right/>
      <top style="medium">
        <color theme="0"/>
      </top>
      <bottom/>
      <diagonal/>
    </border>
    <border>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diagonal/>
    </border>
    <border>
      <left style="medium">
        <color theme="0"/>
      </left>
      <right style="medium">
        <color theme="0"/>
      </right>
      <top/>
      <bottom style="medium">
        <color theme="0"/>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rgb="FFFF0000"/>
      </right>
      <top/>
      <bottom/>
      <diagonal/>
    </border>
    <border>
      <left style="thin">
        <color rgb="FFFF0000"/>
      </left>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medium">
        <color theme="0"/>
      </left>
      <right style="medium">
        <color theme="0"/>
      </right>
      <top style="medium">
        <color theme="0"/>
      </top>
      <bottom/>
      <diagonal/>
    </border>
    <border>
      <left style="medium">
        <color theme="0"/>
      </left>
      <right style="thin">
        <color theme="0"/>
      </right>
      <top style="medium">
        <color theme="0"/>
      </top>
      <bottom style="medium">
        <color theme="0"/>
      </bottom>
      <diagonal/>
    </border>
    <border>
      <left/>
      <right style="thin">
        <color theme="0" tint="-0.34998626667073579"/>
      </right>
      <top style="thin">
        <color indexed="64"/>
      </top>
      <bottom/>
      <diagonal/>
    </border>
    <border>
      <left style="thin">
        <color indexed="64"/>
      </left>
      <right style="medium">
        <color theme="0"/>
      </right>
      <top/>
      <bottom style="medium">
        <color theme="0"/>
      </bottom>
      <diagonal/>
    </border>
    <border>
      <left style="medium">
        <color theme="0"/>
      </left>
      <right style="thin">
        <color indexed="64"/>
      </right>
      <top/>
      <bottom style="medium">
        <color theme="0"/>
      </bottom>
      <diagonal/>
    </border>
    <border>
      <left style="thin">
        <color indexed="64"/>
      </left>
      <right style="medium">
        <color theme="0"/>
      </right>
      <top style="medium">
        <color theme="0"/>
      </top>
      <bottom style="medium">
        <color theme="0"/>
      </bottom>
      <diagonal/>
    </border>
    <border>
      <left style="medium">
        <color theme="0"/>
      </left>
      <right style="thin">
        <color indexed="64"/>
      </right>
      <top style="medium">
        <color theme="0"/>
      </top>
      <bottom style="medium">
        <color theme="0"/>
      </bottom>
      <diagonal/>
    </border>
    <border>
      <left style="thin">
        <color indexed="64"/>
      </left>
      <right style="medium">
        <color theme="0"/>
      </right>
      <top style="medium">
        <color theme="0"/>
      </top>
      <bottom style="thin">
        <color indexed="64"/>
      </bottom>
      <diagonal/>
    </border>
    <border>
      <left style="medium">
        <color theme="0"/>
      </left>
      <right style="thin">
        <color indexed="64"/>
      </right>
      <top style="medium">
        <color theme="0"/>
      </top>
      <bottom style="thin">
        <color indexed="64"/>
      </bottom>
      <diagonal/>
    </border>
    <border>
      <left style="thin">
        <color indexed="64"/>
      </left>
      <right style="medium">
        <color theme="0"/>
      </right>
      <top style="medium">
        <color theme="0"/>
      </top>
      <bottom/>
      <diagonal/>
    </border>
    <border>
      <left style="medium">
        <color theme="0"/>
      </left>
      <right style="thin">
        <color indexed="64"/>
      </right>
      <top style="medium">
        <color theme="0"/>
      </top>
      <bottom/>
      <diagonal/>
    </border>
    <border>
      <left style="medium">
        <color theme="0"/>
      </left>
      <right style="medium">
        <color theme="0"/>
      </right>
      <top style="medium">
        <color theme="0"/>
      </top>
      <bottom style="thin">
        <color indexed="64"/>
      </bottom>
      <diagonal/>
    </border>
    <border>
      <left style="medium">
        <color theme="0"/>
      </left>
      <right/>
      <top style="medium">
        <color theme="0"/>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rgb="FFFF0000"/>
      </right>
      <top style="thin">
        <color rgb="FFFF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theme="0"/>
      </top>
      <bottom style="medium">
        <color theme="0"/>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theme="0"/>
      </right>
      <top style="medium">
        <color theme="0"/>
      </top>
      <bottom style="medium">
        <color theme="0"/>
      </bottom>
      <diagonal/>
    </border>
    <border>
      <left style="medium">
        <color theme="0"/>
      </left>
      <right style="medium">
        <color indexed="64"/>
      </right>
      <top style="medium">
        <color theme="0"/>
      </top>
      <bottom style="medium">
        <color theme="0"/>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
      <left/>
      <right/>
      <top style="medium">
        <color theme="0"/>
      </top>
      <bottom/>
      <diagonal/>
    </border>
    <border>
      <left/>
      <right/>
      <top/>
      <bottom style="medium">
        <color theme="0"/>
      </bottom>
      <diagonal/>
    </border>
    <border>
      <left/>
      <right/>
      <top style="medium">
        <color theme="0"/>
      </top>
      <bottom style="medium">
        <color theme="0"/>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theme="0"/>
      </right>
      <top/>
      <bottom/>
      <diagonal/>
    </border>
    <border>
      <left style="medium">
        <color theme="0"/>
      </left>
      <right style="medium">
        <color theme="0"/>
      </right>
      <top/>
      <bottom/>
      <diagonal/>
    </border>
    <border>
      <left style="medium">
        <color theme="0"/>
      </left>
      <right style="thin">
        <color indexed="64"/>
      </right>
      <top/>
      <bottom/>
      <diagonal/>
    </border>
    <border>
      <left style="medium">
        <color indexed="64"/>
      </left>
      <right style="medium">
        <color theme="0"/>
      </right>
      <top style="medium">
        <color indexed="64"/>
      </top>
      <bottom style="medium">
        <color theme="0"/>
      </bottom>
      <diagonal/>
    </border>
    <border>
      <left style="medium">
        <color theme="0"/>
      </left>
      <right style="medium">
        <color theme="0"/>
      </right>
      <top style="medium">
        <color indexed="64"/>
      </top>
      <bottom style="medium">
        <color theme="0"/>
      </bottom>
      <diagonal/>
    </border>
    <border>
      <left style="medium">
        <color theme="0"/>
      </left>
      <right/>
      <top style="medium">
        <color indexed="64"/>
      </top>
      <bottom style="medium">
        <color theme="0"/>
      </bottom>
      <diagonal/>
    </border>
    <border>
      <left style="medium">
        <color theme="0"/>
      </left>
      <right style="medium">
        <color indexed="64"/>
      </right>
      <top style="medium">
        <color indexed="64"/>
      </top>
      <bottom style="medium">
        <color theme="0"/>
      </bottom>
      <diagonal/>
    </border>
    <border>
      <left style="medium">
        <color indexed="64"/>
      </left>
      <right style="medium">
        <color theme="0"/>
      </right>
      <top style="medium">
        <color theme="0"/>
      </top>
      <bottom style="medium">
        <color indexed="64"/>
      </bottom>
      <diagonal/>
    </border>
    <border>
      <left style="medium">
        <color theme="0"/>
      </left>
      <right style="medium">
        <color theme="0"/>
      </right>
      <top style="medium">
        <color theme="0"/>
      </top>
      <bottom style="medium">
        <color indexed="64"/>
      </bottom>
      <diagonal/>
    </border>
    <border>
      <left style="medium">
        <color theme="0"/>
      </left>
      <right/>
      <top style="medium">
        <color theme="0"/>
      </top>
      <bottom style="medium">
        <color indexed="64"/>
      </bottom>
      <diagonal/>
    </border>
    <border>
      <left style="medium">
        <color theme="0"/>
      </left>
      <right style="medium">
        <color indexed="64"/>
      </right>
      <top style="medium">
        <color theme="0"/>
      </top>
      <bottom style="medium">
        <color indexed="64"/>
      </bottom>
      <diagonal/>
    </border>
  </borders>
  <cellStyleXfs count="13">
    <xf numFmtId="0" fontId="0" fillId="0" borderId="0"/>
    <xf numFmtId="9" fontId="1" fillId="0" borderId="0" applyFont="0" applyFill="0" applyBorder="0" applyAlignment="0" applyProtection="0"/>
    <xf numFmtId="0" fontId="11" fillId="0" borderId="0"/>
    <xf numFmtId="0" fontId="28" fillId="0" borderId="0" applyNumberFormat="0" applyFill="0" applyBorder="0" applyAlignment="0" applyProtection="0">
      <alignment vertical="top"/>
      <protection locked="0"/>
    </xf>
    <xf numFmtId="166" fontId="1" fillId="0" borderId="17" applyFill="0">
      <alignment horizontal="center" vertical="center"/>
    </xf>
    <xf numFmtId="0" fontId="1" fillId="0" borderId="17" applyFill="0">
      <alignment horizontal="center" vertical="center"/>
    </xf>
    <xf numFmtId="0" fontId="1" fillId="0" borderId="17" applyFill="0">
      <alignment horizontal="left" vertical="center" indent="2"/>
    </xf>
    <xf numFmtId="0" fontId="1" fillId="0" borderId="0" applyNumberFormat="0" applyFill="0" applyProtection="0">
      <alignment horizontal="right" indent="1"/>
    </xf>
    <xf numFmtId="168" fontId="1" fillId="0" borderId="24">
      <alignment horizontal="center" vertical="center"/>
    </xf>
    <xf numFmtId="0" fontId="25" fillId="0" borderId="0" applyNumberFormat="0" applyFill="0" applyProtection="0">
      <alignment vertical="top"/>
    </xf>
    <xf numFmtId="0" fontId="25" fillId="0" borderId="0" applyNumberFormat="0" applyFill="0" applyAlignment="0" applyProtection="0"/>
    <xf numFmtId="0" fontId="29" fillId="0" borderId="0" applyNumberFormat="0" applyFill="0" applyBorder="0" applyAlignment="0" applyProtection="0"/>
    <xf numFmtId="0" fontId="40" fillId="0" borderId="0" applyNumberFormat="0" applyFill="0" applyBorder="0" applyAlignment="0" applyProtection="0"/>
  </cellStyleXfs>
  <cellXfs count="504">
    <xf numFmtId="0" fontId="0" fillId="0" borderId="0" xfId="0"/>
    <xf numFmtId="14" fontId="0" fillId="0" borderId="0" xfId="0" applyNumberFormat="1"/>
    <xf numFmtId="9" fontId="4" fillId="0" borderId="0" xfId="0" applyNumberFormat="1" applyFont="1" applyAlignment="1">
      <alignment horizontal="center"/>
    </xf>
    <xf numFmtId="0" fontId="4" fillId="0" borderId="0" xfId="0" applyFont="1" applyAlignment="1">
      <alignment horizontal="left"/>
    </xf>
    <xf numFmtId="9" fontId="5" fillId="0" borderId="0" xfId="0" applyNumberFormat="1" applyFont="1" applyAlignment="1">
      <alignment horizontal="center"/>
    </xf>
    <xf numFmtId="0" fontId="5" fillId="0" borderId="0" xfId="0" applyFont="1" applyAlignment="1">
      <alignment horizontal="left"/>
    </xf>
    <xf numFmtId="9" fontId="6" fillId="0" borderId="0" xfId="0" applyNumberFormat="1" applyFont="1" applyAlignment="1">
      <alignment horizontal="center"/>
    </xf>
    <xf numFmtId="9" fontId="6" fillId="0" borderId="0" xfId="0" applyNumberFormat="1" applyFont="1" applyAlignment="1">
      <alignment horizontal="left"/>
    </xf>
    <xf numFmtId="0" fontId="6" fillId="0" borderId="0" xfId="0" applyFont="1" applyAlignment="1">
      <alignment horizontal="left"/>
    </xf>
    <xf numFmtId="9" fontId="7" fillId="0" borderId="0" xfId="0" applyNumberFormat="1" applyFont="1" applyAlignment="1">
      <alignment horizontal="center"/>
    </xf>
    <xf numFmtId="9" fontId="7" fillId="0" borderId="0" xfId="0" applyNumberFormat="1" applyFont="1" applyAlignment="1">
      <alignment horizontal="left"/>
    </xf>
    <xf numFmtId="0" fontId="0" fillId="3" borderId="0" xfId="0" applyFill="1"/>
    <xf numFmtId="0" fontId="0" fillId="0" borderId="0" xfId="0" applyAlignment="1">
      <alignment horizontal="center"/>
    </xf>
    <xf numFmtId="0" fontId="9" fillId="0" borderId="0" xfId="0" applyFont="1" applyAlignment="1">
      <alignment horizontal="center"/>
    </xf>
    <xf numFmtId="0" fontId="9" fillId="0" borderId="0" xfId="0" applyFont="1" applyAlignment="1">
      <alignment horizontal="center" vertical="center"/>
    </xf>
    <xf numFmtId="14" fontId="0" fillId="0" borderId="0" xfId="0" applyNumberFormat="1" applyAlignment="1">
      <alignment horizontal="center"/>
    </xf>
    <xf numFmtId="9" fontId="0" fillId="0" borderId="0" xfId="0" applyNumberFormat="1" applyAlignment="1">
      <alignment horizontal="center"/>
    </xf>
    <xf numFmtId="9" fontId="10" fillId="0" borderId="0" xfId="1" applyFont="1" applyAlignment="1">
      <alignment horizontal="center"/>
    </xf>
    <xf numFmtId="0" fontId="9" fillId="0" borderId="0" xfId="0" applyFont="1"/>
    <xf numFmtId="0" fontId="2" fillId="3" borderId="0" xfId="0" applyFont="1" applyFill="1" applyAlignment="1">
      <alignment horizontal="left"/>
    </xf>
    <xf numFmtId="0" fontId="2" fillId="3" borderId="0" xfId="0" applyFont="1" applyFill="1" applyAlignment="1">
      <alignment horizontal="center"/>
    </xf>
    <xf numFmtId="0" fontId="2" fillId="0" borderId="0" xfId="0" applyFont="1"/>
    <xf numFmtId="9" fontId="0" fillId="0" borderId="0" xfId="1" applyFont="1"/>
    <xf numFmtId="0" fontId="10" fillId="0" borderId="0" xfId="0" applyFont="1"/>
    <xf numFmtId="0" fontId="0" fillId="0" borderId="0" xfId="0" quotePrefix="1"/>
    <xf numFmtId="165" fontId="13" fillId="0" borderId="4" xfId="0" applyNumberFormat="1" applyFont="1" applyBorder="1" applyAlignment="1">
      <alignment horizontal="center" vertical="center"/>
    </xf>
    <xf numFmtId="165" fontId="13" fillId="0" borderId="7" xfId="0" applyNumberFormat="1" applyFont="1" applyBorder="1" applyAlignment="1">
      <alignment horizontal="center" vertical="center"/>
    </xf>
    <xf numFmtId="165" fontId="13" fillId="0" borderId="8" xfId="0" applyNumberFormat="1" applyFont="1" applyBorder="1" applyAlignment="1">
      <alignment horizontal="center" vertical="center"/>
    </xf>
    <xf numFmtId="165" fontId="13" fillId="3" borderId="8" xfId="0" applyNumberFormat="1" applyFont="1" applyFill="1" applyBorder="1" applyAlignment="1">
      <alignment horizontal="center" vertical="center"/>
    </xf>
    <xf numFmtId="165" fontId="13" fillId="0" borderId="5" xfId="0" applyNumberFormat="1" applyFont="1" applyBorder="1" applyAlignment="1">
      <alignment horizontal="center" vertical="center"/>
    </xf>
    <xf numFmtId="165" fontId="13" fillId="0" borderId="6" xfId="0" applyNumberFormat="1" applyFont="1" applyBorder="1" applyAlignment="1">
      <alignment horizontal="center" vertical="center"/>
    </xf>
    <xf numFmtId="165" fontId="13" fillId="3" borderId="6" xfId="0" applyNumberFormat="1" applyFont="1" applyFill="1" applyBorder="1" applyAlignment="1">
      <alignment horizontal="center" vertical="center"/>
    </xf>
    <xf numFmtId="165" fontId="13" fillId="0" borderId="12" xfId="0" applyNumberFormat="1" applyFont="1" applyBorder="1" applyAlignment="1">
      <alignment horizontal="center" vertical="center"/>
    </xf>
    <xf numFmtId="165" fontId="13" fillId="0" borderId="13" xfId="0" applyNumberFormat="1" applyFont="1" applyBorder="1" applyAlignment="1">
      <alignment horizontal="center" vertical="center"/>
    </xf>
    <xf numFmtId="165" fontId="13" fillId="0" borderId="11" xfId="0" applyNumberFormat="1" applyFont="1" applyBorder="1" applyAlignment="1">
      <alignment horizontal="center" vertical="center"/>
    </xf>
    <xf numFmtId="0" fontId="14" fillId="0" borderId="0" xfId="0" applyFont="1"/>
    <xf numFmtId="0" fontId="18" fillId="5" borderId="4" xfId="0" applyFont="1" applyFill="1" applyBorder="1" applyAlignment="1">
      <alignment horizontal="center"/>
    </xf>
    <xf numFmtId="0" fontId="18" fillId="0" borderId="4" xfId="0" applyFont="1" applyBorder="1" applyAlignment="1">
      <alignment horizontal="center"/>
    </xf>
    <xf numFmtId="9" fontId="18" fillId="5" borderId="4" xfId="0" applyNumberFormat="1" applyFont="1" applyFill="1" applyBorder="1" applyAlignment="1">
      <alignment horizontal="center"/>
    </xf>
    <xf numFmtId="0" fontId="18" fillId="5" borderId="4" xfId="0" applyFont="1" applyFill="1" applyBorder="1" applyAlignment="1">
      <alignment horizontal="left"/>
    </xf>
    <xf numFmtId="9" fontId="17" fillId="0" borderId="4" xfId="0" applyNumberFormat="1" applyFont="1" applyBorder="1" applyAlignment="1">
      <alignment horizontal="center"/>
    </xf>
    <xf numFmtId="0" fontId="17" fillId="0" borderId="4" xfId="0" applyFont="1" applyBorder="1" applyAlignment="1">
      <alignment horizontal="left"/>
    </xf>
    <xf numFmtId="9" fontId="15" fillId="5" borderId="4" xfId="0" applyNumberFormat="1" applyFont="1" applyFill="1" applyBorder="1" applyAlignment="1">
      <alignment horizontal="center"/>
    </xf>
    <xf numFmtId="9" fontId="15" fillId="5" borderId="4" xfId="0" applyNumberFormat="1" applyFont="1" applyFill="1" applyBorder="1" applyAlignment="1">
      <alignment horizontal="left"/>
    </xf>
    <xf numFmtId="9" fontId="15" fillId="0" borderId="4" xfId="0" applyNumberFormat="1" applyFont="1" applyBorder="1" applyAlignment="1">
      <alignment horizontal="center"/>
    </xf>
    <xf numFmtId="0" fontId="15" fillId="0" borderId="4" xfId="0" applyFont="1" applyBorder="1" applyAlignment="1">
      <alignment horizontal="left"/>
    </xf>
    <xf numFmtId="0" fontId="15" fillId="5" borderId="4" xfId="0" applyFont="1" applyFill="1" applyBorder="1" applyAlignment="1">
      <alignment horizontal="left"/>
    </xf>
    <xf numFmtId="9" fontId="19" fillId="0" borderId="4" xfId="0" applyNumberFormat="1" applyFont="1" applyBorder="1" applyAlignment="1">
      <alignment horizontal="center"/>
    </xf>
    <xf numFmtId="9" fontId="19" fillId="0" borderId="4" xfId="0" applyNumberFormat="1" applyFont="1" applyBorder="1" applyAlignment="1">
      <alignment horizontal="left"/>
    </xf>
    <xf numFmtId="9" fontId="19" fillId="5" borderId="4" xfId="0" applyNumberFormat="1" applyFont="1" applyFill="1" applyBorder="1" applyAlignment="1">
      <alignment horizontal="center"/>
    </xf>
    <xf numFmtId="9" fontId="19" fillId="5" borderId="4" xfId="0" applyNumberFormat="1" applyFont="1" applyFill="1" applyBorder="1" applyAlignment="1">
      <alignment horizontal="left"/>
    </xf>
    <xf numFmtId="0" fontId="10" fillId="0" borderId="0" xfId="0" applyFont="1" applyAlignment="1">
      <alignment horizontal="center"/>
    </xf>
    <xf numFmtId="0" fontId="10" fillId="3" borderId="0" xfId="0" applyFont="1" applyFill="1" applyAlignment="1">
      <alignment horizontal="center"/>
    </xf>
    <xf numFmtId="0" fontId="10" fillId="3" borderId="0" xfId="0" applyFont="1" applyFill="1"/>
    <xf numFmtId="0" fontId="20" fillId="3" borderId="0" xfId="0" applyFont="1" applyFill="1"/>
    <xf numFmtId="0" fontId="22" fillId="2" borderId="3" xfId="0" applyFont="1" applyFill="1" applyBorder="1"/>
    <xf numFmtId="0" fontId="23" fillId="2" borderId="3" xfId="0" applyFont="1" applyFill="1" applyBorder="1"/>
    <xf numFmtId="0" fontId="22" fillId="2" borderId="3" xfId="0" applyFont="1" applyFill="1" applyBorder="1" applyAlignment="1">
      <alignment horizontal="center"/>
    </xf>
    <xf numFmtId="0" fontId="22" fillId="2" borderId="0" xfId="0" applyFont="1" applyFill="1" applyAlignment="1">
      <alignment horizontal="center"/>
    </xf>
    <xf numFmtId="0" fontId="24" fillId="0" borderId="0" xfId="0" applyFont="1" applyAlignment="1">
      <alignment horizontal="center" vertical="center"/>
    </xf>
    <xf numFmtId="0" fontId="24" fillId="0" borderId="0" xfId="0" applyFont="1" applyAlignment="1">
      <alignment horizontal="center"/>
    </xf>
    <xf numFmtId="9" fontId="9" fillId="4" borderId="4" xfId="0" applyNumberFormat="1" applyFont="1" applyFill="1" applyBorder="1" applyAlignment="1">
      <alignment horizontal="center"/>
    </xf>
    <xf numFmtId="0" fontId="21" fillId="3" borderId="0" xfId="0" applyFont="1" applyFill="1"/>
    <xf numFmtId="0" fontId="0" fillId="6" borderId="0" xfId="0" applyFill="1"/>
    <xf numFmtId="0" fontId="10" fillId="6" borderId="0" xfId="0" applyFont="1" applyFill="1" applyAlignment="1">
      <alignment horizontal="center"/>
    </xf>
    <xf numFmtId="0" fontId="9" fillId="6" borderId="0" xfId="0" applyFont="1" applyFill="1" applyAlignment="1">
      <alignment horizontal="center"/>
    </xf>
    <xf numFmtId="9" fontId="10" fillId="6" borderId="0" xfId="1" applyFont="1" applyFill="1" applyAlignment="1">
      <alignment horizontal="center"/>
    </xf>
    <xf numFmtId="9" fontId="9" fillId="6" borderId="0" xfId="0" applyNumberFormat="1" applyFont="1" applyFill="1" applyAlignment="1">
      <alignment horizontal="center"/>
    </xf>
    <xf numFmtId="9" fontId="9" fillId="4" borderId="0" xfId="0" applyNumberFormat="1" applyFont="1" applyFill="1" applyAlignment="1">
      <alignment horizontal="center"/>
    </xf>
    <xf numFmtId="169" fontId="0" fillId="0" borderId="0" xfId="0" applyNumberFormat="1"/>
    <xf numFmtId="0" fontId="30" fillId="0" borderId="0" xfId="0" applyFont="1"/>
    <xf numFmtId="49" fontId="32" fillId="0" borderId="0" xfId="11" applyNumberFormat="1" applyFont="1" applyAlignment="1">
      <alignment horizontal="left"/>
    </xf>
    <xf numFmtId="0" fontId="9" fillId="0" borderId="0" xfId="0" applyFont="1" applyAlignment="1">
      <alignment horizontal="left" vertical="center"/>
    </xf>
    <xf numFmtId="49" fontId="9" fillId="0" borderId="0" xfId="0" applyNumberFormat="1" applyFont="1" applyAlignment="1">
      <alignment horizontal="right"/>
    </xf>
    <xf numFmtId="0" fontId="33" fillId="0" borderId="0" xfId="0" applyFont="1" applyAlignment="1">
      <alignment horizontal="left"/>
    </xf>
    <xf numFmtId="0" fontId="6" fillId="0" borderId="0" xfId="0" applyFont="1"/>
    <xf numFmtId="0" fontId="6" fillId="0" borderId="0" xfId="0" applyFont="1" applyAlignment="1">
      <alignment horizontal="center"/>
    </xf>
    <xf numFmtId="0" fontId="6" fillId="0" borderId="0" xfId="0" applyFont="1" applyAlignment="1">
      <alignment horizontal="center" vertical="center"/>
    </xf>
    <xf numFmtId="0" fontId="34" fillId="0" borderId="0" xfId="0" applyFont="1"/>
    <xf numFmtId="0" fontId="35" fillId="0" borderId="0" xfId="0" applyFont="1"/>
    <xf numFmtId="0" fontId="9" fillId="0" borderId="0" xfId="10" applyFont="1"/>
    <xf numFmtId="0" fontId="36" fillId="0" borderId="0" xfId="3" applyFont="1" applyProtection="1">
      <alignment vertical="top"/>
    </xf>
    <xf numFmtId="169" fontId="9" fillId="0" borderId="0" xfId="0" applyNumberFormat="1" applyFont="1"/>
    <xf numFmtId="165" fontId="15" fillId="3" borderId="21" xfId="0" applyNumberFormat="1" applyFont="1" applyFill="1" applyBorder="1" applyAlignment="1">
      <alignment horizontal="center" vertical="center"/>
    </xf>
    <xf numFmtId="165" fontId="15" fillId="3" borderId="0" xfId="0" applyNumberFormat="1" applyFont="1" applyFill="1" applyAlignment="1">
      <alignment horizontal="center" vertical="center"/>
    </xf>
    <xf numFmtId="165" fontId="15" fillId="3" borderId="20" xfId="0" applyNumberFormat="1" applyFont="1" applyFill="1" applyBorder="1" applyAlignment="1">
      <alignment horizontal="center" vertical="center"/>
    </xf>
    <xf numFmtId="0" fontId="8" fillId="23" borderId="18" xfId="0" applyFont="1" applyFill="1" applyBorder="1" applyAlignment="1">
      <alignment horizontal="center" vertical="center" shrinkToFit="1"/>
    </xf>
    <xf numFmtId="0" fontId="9" fillId="0" borderId="0" xfId="0" applyFont="1" applyAlignment="1">
      <alignment vertical="center"/>
    </xf>
    <xf numFmtId="0" fontId="31" fillId="0" borderId="0" xfId="2" applyFont="1" applyAlignment="1">
      <alignment horizontal="left"/>
    </xf>
    <xf numFmtId="0" fontId="31" fillId="0" borderId="0" xfId="2" applyFont="1" applyAlignment="1">
      <alignment horizontal="left" wrapText="1"/>
    </xf>
    <xf numFmtId="0" fontId="38" fillId="0" borderId="0" xfId="0" applyFont="1"/>
    <xf numFmtId="0" fontId="14" fillId="3" borderId="0" xfId="0" applyFont="1" applyFill="1"/>
    <xf numFmtId="49" fontId="12" fillId="3" borderId="0" xfId="0" applyNumberFormat="1" applyFont="1" applyFill="1" applyAlignment="1">
      <alignment horizontal="left"/>
    </xf>
    <xf numFmtId="0" fontId="12" fillId="3" borderId="0" xfId="0" applyFont="1" applyFill="1" applyAlignment="1">
      <alignment horizontal="left"/>
    </xf>
    <xf numFmtId="0" fontId="12" fillId="3" borderId="2" xfId="0" applyFont="1" applyFill="1" applyBorder="1" applyAlignment="1">
      <alignment horizontal="left"/>
    </xf>
    <xf numFmtId="0" fontId="9" fillId="0" borderId="0" xfId="0" applyFont="1" applyAlignment="1">
      <alignment horizontal="right"/>
    </xf>
    <xf numFmtId="0" fontId="12" fillId="3" borderId="11" xfId="0" applyFont="1" applyFill="1" applyBorder="1" applyAlignment="1">
      <alignment horizontal="center" vertical="center"/>
    </xf>
    <xf numFmtId="0" fontId="12" fillId="3" borderId="6" xfId="0" applyFont="1" applyFill="1" applyBorder="1" applyAlignment="1">
      <alignment horizontal="center" vertical="center"/>
    </xf>
    <xf numFmtId="0" fontId="12" fillId="3" borderId="10" xfId="0" applyFont="1" applyFill="1" applyBorder="1" applyAlignment="1">
      <alignment horizontal="center" vertical="center"/>
    </xf>
    <xf numFmtId="165" fontId="13" fillId="3" borderId="9" xfId="0" applyNumberFormat="1" applyFont="1" applyFill="1" applyBorder="1" applyAlignment="1">
      <alignment horizontal="center" vertical="center"/>
    </xf>
    <xf numFmtId="165" fontId="13" fillId="3" borderId="14" xfId="0" applyNumberFormat="1" applyFont="1" applyFill="1" applyBorder="1" applyAlignment="1">
      <alignment horizontal="center" vertical="center"/>
    </xf>
    <xf numFmtId="165" fontId="13" fillId="3" borderId="12" xfId="0" applyNumberFormat="1" applyFont="1" applyFill="1" applyBorder="1" applyAlignment="1">
      <alignment horizontal="center" vertical="center"/>
    </xf>
    <xf numFmtId="165" fontId="13" fillId="0" borderId="26" xfId="0" applyNumberFormat="1" applyFont="1" applyBorder="1" applyAlignment="1">
      <alignment horizontal="center" vertical="center"/>
    </xf>
    <xf numFmtId="0" fontId="9" fillId="0" borderId="27" xfId="0" applyFont="1" applyBorder="1" applyAlignment="1">
      <alignment vertical="center"/>
    </xf>
    <xf numFmtId="0" fontId="8" fillId="24" borderId="0" xfId="0" applyFont="1" applyFill="1" applyAlignment="1">
      <alignment horizontal="left" vertical="center" indent="1"/>
    </xf>
    <xf numFmtId="0" fontId="0" fillId="0" borderId="0" xfId="0" applyAlignment="1">
      <alignment horizontal="left"/>
    </xf>
    <xf numFmtId="0" fontId="0" fillId="3" borderId="30" xfId="0" applyFill="1" applyBorder="1"/>
    <xf numFmtId="0" fontId="9" fillId="0" borderId="0" xfId="0" applyFont="1" applyAlignment="1">
      <alignment horizontal="left"/>
    </xf>
    <xf numFmtId="0" fontId="0" fillId="0" borderId="32" xfId="0" applyBorder="1"/>
    <xf numFmtId="0" fontId="0" fillId="0" borderId="33" xfId="0" applyBorder="1"/>
    <xf numFmtId="0" fontId="26" fillId="10" borderId="34" xfId="0" applyFont="1" applyFill="1" applyBorder="1"/>
    <xf numFmtId="0" fontId="0" fillId="0" borderId="34" xfId="0" applyBorder="1"/>
    <xf numFmtId="0" fontId="0" fillId="0" borderId="36" xfId="0" applyBorder="1"/>
    <xf numFmtId="0" fontId="0" fillId="0" borderId="37" xfId="0" applyBorder="1"/>
    <xf numFmtId="0" fontId="26" fillId="10" borderId="35" xfId="0" applyFont="1" applyFill="1" applyBorder="1"/>
    <xf numFmtId="0" fontId="0" fillId="0" borderId="35" xfId="0" applyBorder="1"/>
    <xf numFmtId="0" fontId="39" fillId="0" borderId="0" xfId="0" applyFont="1" applyAlignment="1">
      <alignment vertical="center" wrapText="1"/>
    </xf>
    <xf numFmtId="170" fontId="30" fillId="0" borderId="0" xfId="0" applyNumberFormat="1" applyFont="1" applyAlignment="1">
      <alignment vertical="center"/>
    </xf>
    <xf numFmtId="0" fontId="30" fillId="0" borderId="0" xfId="0" applyFont="1" applyAlignment="1">
      <alignment vertical="center"/>
    </xf>
    <xf numFmtId="0" fontId="25" fillId="0" borderId="0" xfId="0" applyFont="1"/>
    <xf numFmtId="0" fontId="30" fillId="0" borderId="0" xfId="0" applyFont="1" applyAlignment="1">
      <alignment vertical="center" wrapText="1"/>
    </xf>
    <xf numFmtId="0" fontId="41" fillId="0" borderId="0" xfId="0" applyFont="1"/>
    <xf numFmtId="0" fontId="0" fillId="0" borderId="39" xfId="0" applyBorder="1"/>
    <xf numFmtId="0" fontId="39" fillId="0" borderId="38" xfId="0" applyFont="1" applyBorder="1" applyAlignment="1">
      <alignment vertical="center" wrapText="1"/>
    </xf>
    <xf numFmtId="0" fontId="25" fillId="28" borderId="0" xfId="0" applyFont="1" applyFill="1" applyAlignment="1">
      <alignment horizontal="left" vertical="center"/>
    </xf>
    <xf numFmtId="0" fontId="25" fillId="0" borderId="0" xfId="0" applyFont="1" applyAlignment="1">
      <alignment horizontal="left" vertical="center"/>
    </xf>
    <xf numFmtId="0" fontId="0" fillId="3" borderId="26" xfId="0" applyFill="1" applyBorder="1"/>
    <xf numFmtId="0" fontId="27" fillId="0" borderId="0" xfId="0" applyFont="1"/>
    <xf numFmtId="0" fontId="0" fillId="3" borderId="8" xfId="0" applyFill="1" applyBorder="1"/>
    <xf numFmtId="0" fontId="44" fillId="29" borderId="40" xfId="12" applyFont="1" applyFill="1" applyBorder="1" applyAlignment="1">
      <alignment horizontal="center" vertical="center"/>
    </xf>
    <xf numFmtId="0" fontId="43" fillId="0" borderId="0" xfId="0" applyFont="1" applyAlignment="1">
      <alignment horizontal="left" vertical="center"/>
    </xf>
    <xf numFmtId="0" fontId="0" fillId="0" borderId="45" xfId="0" applyBorder="1"/>
    <xf numFmtId="0" fontId="0" fillId="0" borderId="46" xfId="0" applyBorder="1"/>
    <xf numFmtId="0" fontId="0" fillId="0" borderId="49" xfId="0" applyBorder="1"/>
    <xf numFmtId="0" fontId="12" fillId="27" borderId="2" xfId="0" applyFont="1" applyFill="1" applyBorder="1" applyAlignment="1">
      <alignment horizontal="right"/>
    </xf>
    <xf numFmtId="0" fontId="0" fillId="0" borderId="31" xfId="0" applyBorder="1"/>
    <xf numFmtId="0" fontId="26" fillId="10" borderId="0" xfId="0" applyFont="1" applyFill="1"/>
    <xf numFmtId="0" fontId="10" fillId="0" borderId="0" xfId="7" applyFont="1" applyAlignment="1"/>
    <xf numFmtId="0" fontId="26" fillId="10" borderId="51" xfId="0" applyFont="1" applyFill="1" applyBorder="1"/>
    <xf numFmtId="0" fontId="0" fillId="0" borderId="0" xfId="0" applyAlignment="1">
      <alignment wrapText="1"/>
    </xf>
    <xf numFmtId="49" fontId="0" fillId="0" borderId="0" xfId="0" applyNumberFormat="1"/>
    <xf numFmtId="0" fontId="8" fillId="7" borderId="0" xfId="0" applyFont="1" applyFill="1" applyAlignment="1">
      <alignment horizontal="center" vertical="center"/>
    </xf>
    <xf numFmtId="0" fontId="8" fillId="8" borderId="0" xfId="0" applyFont="1" applyFill="1" applyAlignment="1">
      <alignment horizontal="center" vertical="center"/>
    </xf>
    <xf numFmtId="0" fontId="0" fillId="0" borderId="53" xfId="0" applyBorder="1"/>
    <xf numFmtId="0" fontId="0" fillId="0" borderId="54" xfId="0" applyBorder="1"/>
    <xf numFmtId="49" fontId="37" fillId="28" borderId="8" xfId="11" applyNumberFormat="1" applyFont="1" applyFill="1" applyBorder="1" applyAlignment="1">
      <alignment horizontal="center" vertical="center"/>
    </xf>
    <xf numFmtId="49" fontId="37" fillId="28" borderId="26" xfId="11" applyNumberFormat="1" applyFont="1" applyFill="1" applyBorder="1" applyAlignment="1">
      <alignment horizontal="center" vertical="center"/>
    </xf>
    <xf numFmtId="49" fontId="37" fillId="0" borderId="0" xfId="11" applyNumberFormat="1" applyFont="1" applyFill="1" applyBorder="1" applyAlignment="1">
      <alignment horizontal="left" vertical="center"/>
    </xf>
    <xf numFmtId="0" fontId="1" fillId="0" borderId="0" xfId="0" applyFont="1" applyAlignment="1">
      <alignment horizontal="center" vertical="center"/>
    </xf>
    <xf numFmtId="0" fontId="1" fillId="26" borderId="11" xfId="0" applyFont="1" applyFill="1" applyBorder="1" applyAlignment="1">
      <alignment horizontal="center" vertical="center" wrapText="1"/>
    </xf>
    <xf numFmtId="14" fontId="1" fillId="26" borderId="11" xfId="0" applyNumberFormat="1" applyFont="1" applyFill="1" applyBorder="1" applyAlignment="1">
      <alignment horizontal="center" vertical="center"/>
    </xf>
    <xf numFmtId="0" fontId="0" fillId="3" borderId="0" xfId="0" applyFill="1" applyAlignment="1">
      <alignment horizontal="center"/>
    </xf>
    <xf numFmtId="9" fontId="1" fillId="3" borderId="0" xfId="1" applyFont="1" applyFill="1" applyAlignment="1">
      <alignment horizontal="center"/>
    </xf>
    <xf numFmtId="9" fontId="0" fillId="3" borderId="0" xfId="1" applyFont="1" applyFill="1" applyAlignment="1">
      <alignment horizontal="center"/>
    </xf>
    <xf numFmtId="0" fontId="0" fillId="3" borderId="0" xfId="0" applyFill="1" applyAlignment="1">
      <alignment horizontal="left"/>
    </xf>
    <xf numFmtId="0" fontId="16" fillId="2" borderId="29" xfId="0" applyFont="1" applyFill="1" applyBorder="1"/>
    <xf numFmtId="0" fontId="40" fillId="0" borderId="0" xfId="12"/>
    <xf numFmtId="0" fontId="26" fillId="10" borderId="65" xfId="0" applyFont="1" applyFill="1" applyBorder="1"/>
    <xf numFmtId="0" fontId="46" fillId="0" borderId="0" xfId="0" applyFont="1" applyAlignment="1">
      <alignment vertical="center" wrapText="1"/>
    </xf>
    <xf numFmtId="0" fontId="12" fillId="3" borderId="0" xfId="0" applyFont="1" applyFill="1" applyAlignment="1">
      <alignment horizontal="center"/>
    </xf>
    <xf numFmtId="9" fontId="0" fillId="0" borderId="0" xfId="1" applyFont="1" applyAlignment="1">
      <alignment horizontal="center"/>
    </xf>
    <xf numFmtId="14" fontId="1" fillId="3" borderId="0" xfId="1" applyNumberFormat="1" applyFont="1" applyFill="1" applyAlignment="1">
      <alignment horizontal="center"/>
    </xf>
    <xf numFmtId="14" fontId="0" fillId="3" borderId="0" xfId="1" applyNumberFormat="1" applyFont="1" applyFill="1" applyAlignment="1">
      <alignment horizontal="center"/>
    </xf>
    <xf numFmtId="14" fontId="0" fillId="3" borderId="0" xfId="0" applyNumberFormat="1" applyFill="1" applyAlignment="1">
      <alignment horizontal="center"/>
    </xf>
    <xf numFmtId="0" fontId="1" fillId="3" borderId="0" xfId="1" applyNumberFormat="1" applyFont="1" applyFill="1" applyAlignment="1">
      <alignment horizontal="center"/>
    </xf>
    <xf numFmtId="0" fontId="0" fillId="3" borderId="0" xfId="1" applyNumberFormat="1" applyFont="1" applyFill="1" applyAlignment="1">
      <alignment horizontal="center"/>
    </xf>
    <xf numFmtId="1" fontId="0" fillId="3" borderId="0" xfId="0" applyNumberFormat="1" applyFill="1" applyAlignment="1">
      <alignment horizontal="center"/>
    </xf>
    <xf numFmtId="1" fontId="1" fillId="3" borderId="0" xfId="1" applyNumberFormat="1" applyFont="1" applyFill="1" applyAlignment="1">
      <alignment horizontal="center"/>
    </xf>
    <xf numFmtId="1" fontId="0" fillId="3" borderId="0" xfId="1" applyNumberFormat="1" applyFont="1" applyFill="1" applyAlignment="1">
      <alignment horizontal="center"/>
    </xf>
    <xf numFmtId="0" fontId="8" fillId="24" borderId="0" xfId="0" applyFont="1" applyFill="1" applyAlignment="1">
      <alignment horizontal="right" vertical="center"/>
    </xf>
    <xf numFmtId="0" fontId="8" fillId="30" borderId="0" xfId="0" applyFont="1" applyFill="1" applyAlignment="1">
      <alignment horizontal="left" vertical="center" indent="1"/>
    </xf>
    <xf numFmtId="14" fontId="2" fillId="3" borderId="0" xfId="0" applyNumberFormat="1" applyFont="1" applyFill="1"/>
    <xf numFmtId="0" fontId="0" fillId="26" borderId="11" xfId="0" applyFill="1" applyBorder="1" applyAlignment="1">
      <alignment horizontal="center" vertical="center"/>
    </xf>
    <xf numFmtId="0" fontId="26" fillId="3" borderId="0" xfId="0" applyFont="1" applyFill="1"/>
    <xf numFmtId="169" fontId="0" fillId="3" borderId="0" xfId="0" applyNumberFormat="1" applyFill="1"/>
    <xf numFmtId="0" fontId="2" fillId="31" borderId="4" xfId="0" applyFont="1" applyFill="1" applyBorder="1" applyAlignment="1">
      <alignment horizontal="center"/>
    </xf>
    <xf numFmtId="14" fontId="2" fillId="31" borderId="4" xfId="0" applyNumberFormat="1" applyFont="1" applyFill="1" applyBorder="1"/>
    <xf numFmtId="0" fontId="50" fillId="27" borderId="44" xfId="0" applyFont="1" applyFill="1" applyBorder="1" applyAlignment="1">
      <alignment horizontal="center" vertical="center"/>
    </xf>
    <xf numFmtId="0" fontId="50" fillId="27" borderId="43" xfId="0" applyFont="1" applyFill="1" applyBorder="1" applyAlignment="1">
      <alignment horizontal="center" vertical="center"/>
    </xf>
    <xf numFmtId="0" fontId="16" fillId="0" borderId="0" xfId="0" applyFont="1"/>
    <xf numFmtId="9" fontId="1" fillId="0" borderId="0" xfId="1" applyFont="1" applyFill="1" applyBorder="1" applyAlignment="1">
      <alignment horizontal="center"/>
    </xf>
    <xf numFmtId="9" fontId="0" fillId="0" borderId="0" xfId="1" applyFont="1" applyFill="1" applyBorder="1" applyAlignment="1">
      <alignment horizontal="center"/>
    </xf>
    <xf numFmtId="0" fontId="8" fillId="31" borderId="0" xfId="0" applyFont="1" applyFill="1"/>
    <xf numFmtId="1" fontId="0" fillId="0" borderId="0" xfId="0" applyNumberFormat="1" applyAlignment="1">
      <alignment horizontal="center"/>
    </xf>
    <xf numFmtId="0" fontId="25" fillId="0" borderId="0" xfId="0" applyFont="1" applyAlignment="1">
      <alignment horizontal="center"/>
    </xf>
    <xf numFmtId="0" fontId="2" fillId="0" borderId="0" xfId="0" applyFont="1" applyAlignment="1">
      <alignment horizontal="center"/>
    </xf>
    <xf numFmtId="14" fontId="1" fillId="3" borderId="0" xfId="1" applyNumberFormat="1" applyFont="1" applyFill="1" applyAlignment="1">
      <alignment horizontal="left"/>
    </xf>
    <xf numFmtId="14" fontId="0" fillId="3" borderId="0" xfId="1" applyNumberFormat="1" applyFont="1" applyFill="1" applyAlignment="1">
      <alignment horizontal="left"/>
    </xf>
    <xf numFmtId="14" fontId="0" fillId="3" borderId="0" xfId="0" applyNumberFormat="1" applyFill="1" applyAlignment="1">
      <alignment horizontal="left"/>
    </xf>
    <xf numFmtId="169" fontId="0" fillId="3" borderId="68" xfId="0" applyNumberFormat="1" applyFill="1" applyBorder="1"/>
    <xf numFmtId="14" fontId="2" fillId="31" borderId="9" xfId="0" applyNumberFormat="1" applyFont="1" applyFill="1" applyBorder="1"/>
    <xf numFmtId="0" fontId="8" fillId="0" borderId="0" xfId="0" applyFont="1" applyAlignment="1">
      <alignment horizontal="left" vertical="center" indent="1"/>
    </xf>
    <xf numFmtId="14" fontId="2" fillId="0" borderId="0" xfId="0" applyNumberFormat="1" applyFont="1"/>
    <xf numFmtId="0" fontId="2" fillId="3" borderId="68" xfId="0" applyFont="1" applyFill="1" applyBorder="1" applyAlignment="1">
      <alignment horizontal="left"/>
    </xf>
    <xf numFmtId="49" fontId="37" fillId="28" borderId="69" xfId="11" applyNumberFormat="1" applyFont="1" applyFill="1" applyBorder="1" applyAlignment="1">
      <alignment horizontal="left" vertical="center"/>
    </xf>
    <xf numFmtId="0" fontId="16" fillId="2" borderId="73" xfId="0" applyFont="1" applyFill="1" applyBorder="1"/>
    <xf numFmtId="0" fontId="16" fillId="2" borderId="74" xfId="0" applyFont="1" applyFill="1" applyBorder="1"/>
    <xf numFmtId="0" fontId="10" fillId="0" borderId="43" xfId="0" applyFont="1" applyBorder="1"/>
    <xf numFmtId="14" fontId="0" fillId="0" borderId="75" xfId="0" applyNumberFormat="1" applyBorder="1"/>
    <xf numFmtId="0" fontId="9" fillId="3" borderId="75" xfId="0" applyFont="1" applyFill="1" applyBorder="1"/>
    <xf numFmtId="0" fontId="10" fillId="0" borderId="76" xfId="0" applyFont="1" applyBorder="1"/>
    <xf numFmtId="14" fontId="0" fillId="5" borderId="77" xfId="0" applyNumberFormat="1" applyFill="1" applyBorder="1"/>
    <xf numFmtId="0" fontId="25" fillId="28" borderId="67" xfId="0" applyFont="1" applyFill="1" applyBorder="1" applyAlignment="1">
      <alignment horizontal="left" vertical="center"/>
    </xf>
    <xf numFmtId="0" fontId="25" fillId="28" borderId="68" xfId="0" applyFont="1" applyFill="1" applyBorder="1" applyAlignment="1">
      <alignment horizontal="left" vertical="center"/>
    </xf>
    <xf numFmtId="0" fontId="8" fillId="31" borderId="40" xfId="0" applyFont="1" applyFill="1" applyBorder="1"/>
    <xf numFmtId="0" fontId="8" fillId="31" borderId="66" xfId="0" applyFont="1" applyFill="1" applyBorder="1"/>
    <xf numFmtId="9" fontId="8" fillId="31" borderId="67" xfId="1" applyFont="1" applyFill="1" applyBorder="1" applyAlignment="1">
      <alignment horizontal="center"/>
    </xf>
    <xf numFmtId="0" fontId="8" fillId="31" borderId="67" xfId="0" applyFont="1" applyFill="1" applyBorder="1" applyAlignment="1">
      <alignment horizontal="center"/>
    </xf>
    <xf numFmtId="0" fontId="8" fillId="31" borderId="68" xfId="0" applyFont="1" applyFill="1" applyBorder="1" applyAlignment="1">
      <alignment horizontal="center"/>
    </xf>
    <xf numFmtId="0" fontId="0" fillId="31" borderId="11" xfId="0" applyFill="1" applyBorder="1"/>
    <xf numFmtId="49" fontId="53" fillId="28" borderId="40" xfId="11" applyNumberFormat="1" applyFont="1" applyFill="1" applyBorder="1" applyAlignment="1">
      <alignment horizontal="left" vertical="center"/>
    </xf>
    <xf numFmtId="49" fontId="53" fillId="28" borderId="40" xfId="11" applyNumberFormat="1" applyFont="1" applyFill="1" applyBorder="1" applyAlignment="1">
      <alignment horizontal="center" vertical="center" wrapText="1"/>
    </xf>
    <xf numFmtId="49" fontId="53" fillId="28" borderId="40" xfId="11" applyNumberFormat="1" applyFont="1" applyFill="1" applyBorder="1" applyAlignment="1">
      <alignment horizontal="center" vertical="center"/>
    </xf>
    <xf numFmtId="0" fontId="42" fillId="3" borderId="0" xfId="0" applyFont="1" applyFill="1" applyAlignment="1">
      <alignment horizontal="left" wrapText="1"/>
    </xf>
    <xf numFmtId="49" fontId="32" fillId="28" borderId="66" xfId="11" applyNumberFormat="1" applyFont="1" applyFill="1" applyBorder="1" applyAlignment="1">
      <alignment horizontal="left"/>
    </xf>
    <xf numFmtId="49" fontId="51" fillId="28" borderId="67" xfId="11" applyNumberFormat="1" applyFont="1" applyFill="1" applyBorder="1" applyAlignment="1">
      <alignment horizontal="center" vertical="center" wrapText="1"/>
    </xf>
    <xf numFmtId="49" fontId="37" fillId="28" borderId="67" xfId="11" applyNumberFormat="1" applyFont="1" applyFill="1" applyBorder="1" applyAlignment="1">
      <alignment horizontal="center" vertical="center"/>
    </xf>
    <xf numFmtId="0" fontId="9" fillId="28" borderId="67" xfId="0" applyFont="1" applyFill="1" applyBorder="1" applyAlignment="1">
      <alignment horizontal="center" vertical="center"/>
    </xf>
    <xf numFmtId="0" fontId="9" fillId="28" borderId="67" xfId="0" applyFont="1" applyFill="1" applyBorder="1" applyAlignment="1">
      <alignment vertical="center"/>
    </xf>
    <xf numFmtId="0" fontId="9" fillId="28" borderId="68" xfId="0" applyFont="1" applyFill="1" applyBorder="1" applyAlignment="1">
      <alignment vertical="center"/>
    </xf>
    <xf numFmtId="0" fontId="26" fillId="10" borderId="78" xfId="0" applyFont="1" applyFill="1" applyBorder="1"/>
    <xf numFmtId="0" fontId="26" fillId="10" borderId="79" xfId="0" applyFont="1" applyFill="1" applyBorder="1"/>
    <xf numFmtId="0" fontId="0" fillId="0" borderId="80" xfId="0" applyBorder="1"/>
    <xf numFmtId="0" fontId="0" fillId="0" borderId="81" xfId="0" applyBorder="1"/>
    <xf numFmtId="0" fontId="0" fillId="0" borderId="82" xfId="0" applyBorder="1"/>
    <xf numFmtId="0" fontId="0" fillId="0" borderId="83" xfId="0" applyBorder="1"/>
    <xf numFmtId="0" fontId="0" fillId="0" borderId="84" xfId="0" applyBorder="1"/>
    <xf numFmtId="0" fontId="0" fillId="0" borderId="85" xfId="0" applyBorder="1"/>
    <xf numFmtId="49" fontId="37" fillId="28" borderId="68" xfId="11" applyNumberFormat="1" applyFont="1" applyFill="1" applyBorder="1" applyAlignment="1">
      <alignment horizontal="left" vertical="center"/>
    </xf>
    <xf numFmtId="172" fontId="26" fillId="10" borderId="86" xfId="0" applyNumberFormat="1" applyFont="1" applyFill="1" applyBorder="1"/>
    <xf numFmtId="172" fontId="0" fillId="0" borderId="84" xfId="0" applyNumberFormat="1" applyBorder="1"/>
    <xf numFmtId="172" fontId="0" fillId="0" borderId="86" xfId="0" applyNumberFormat="1" applyBorder="1"/>
    <xf numFmtId="0" fontId="57" fillId="25" borderId="4" xfId="0" applyFont="1" applyFill="1" applyBorder="1" applyAlignment="1">
      <alignment vertical="center"/>
    </xf>
    <xf numFmtId="0" fontId="57" fillId="0" borderId="0" xfId="0" applyFont="1" applyAlignment="1">
      <alignment vertical="center"/>
    </xf>
    <xf numFmtId="0" fontId="57" fillId="25" borderId="4" xfId="0" applyFont="1" applyFill="1" applyBorder="1" applyAlignment="1">
      <alignment horizontal="right" vertical="center"/>
    </xf>
    <xf numFmtId="0" fontId="57" fillId="0" borderId="28" xfId="0" applyFont="1" applyBorder="1" applyAlignment="1">
      <alignment vertical="center"/>
    </xf>
    <xf numFmtId="0" fontId="57" fillId="0" borderId="16" xfId="0" applyFont="1" applyBorder="1" applyAlignment="1">
      <alignment vertical="center"/>
    </xf>
    <xf numFmtId="0" fontId="57" fillId="0" borderId="0" xfId="0" applyFont="1"/>
    <xf numFmtId="0" fontId="16" fillId="2" borderId="4" xfId="0" applyFont="1" applyFill="1" applyBorder="1" applyAlignment="1">
      <alignment horizontal="center" vertical="center"/>
    </xf>
    <xf numFmtId="0" fontId="16" fillId="2" borderId="4" xfId="0" applyFont="1" applyFill="1" applyBorder="1" applyAlignment="1">
      <alignment horizontal="left" vertical="center"/>
    </xf>
    <xf numFmtId="0" fontId="11" fillId="2" borderId="4" xfId="0" applyFont="1" applyFill="1" applyBorder="1" applyAlignment="1">
      <alignment horizontal="center" vertical="center"/>
    </xf>
    <xf numFmtId="171" fontId="0" fillId="0" borderId="0" xfId="0" applyNumberFormat="1"/>
    <xf numFmtId="172" fontId="0" fillId="3" borderId="0" xfId="0" applyNumberFormat="1" applyFill="1"/>
    <xf numFmtId="0" fontId="59" fillId="3" borderId="4" xfId="0" applyFont="1" applyFill="1" applyBorder="1" applyAlignment="1">
      <alignment horizontal="center"/>
    </xf>
    <xf numFmtId="0" fontId="0" fillId="0" borderId="0" xfId="0" pivotButton="1"/>
    <xf numFmtId="172" fontId="0" fillId="0" borderId="0" xfId="0" applyNumberFormat="1"/>
    <xf numFmtId="0" fontId="54" fillId="3" borderId="4" xfId="0" applyFont="1" applyFill="1" applyBorder="1" applyAlignment="1">
      <alignment horizontal="center"/>
    </xf>
    <xf numFmtId="0" fontId="2" fillId="3" borderId="0" xfId="0" applyFont="1" applyFill="1" applyAlignment="1">
      <alignment horizontal="right"/>
    </xf>
    <xf numFmtId="0" fontId="10" fillId="3" borderId="0" xfId="0" applyFont="1" applyFill="1" applyAlignment="1">
      <alignment horizontal="right"/>
    </xf>
    <xf numFmtId="0" fontId="16" fillId="24" borderId="66" xfId="0" applyFont="1" applyFill="1" applyBorder="1" applyAlignment="1">
      <alignment horizontal="left" vertical="center" indent="1"/>
    </xf>
    <xf numFmtId="0" fontId="16" fillId="24" borderId="67" xfId="0" applyFont="1" applyFill="1" applyBorder="1" applyAlignment="1">
      <alignment horizontal="left" vertical="center" indent="1"/>
    </xf>
    <xf numFmtId="0" fontId="16" fillId="24" borderId="67" xfId="0" applyFont="1" applyFill="1" applyBorder="1" applyAlignment="1">
      <alignment horizontal="left" vertical="center"/>
    </xf>
    <xf numFmtId="0" fontId="16" fillId="24" borderId="68" xfId="0" applyFont="1" applyFill="1" applyBorder="1" applyAlignment="1">
      <alignment horizontal="left" vertical="center" indent="1"/>
    </xf>
    <xf numFmtId="0" fontId="16" fillId="24" borderId="0" xfId="0" applyFont="1" applyFill="1" applyAlignment="1">
      <alignment horizontal="left" vertical="center" indent="1"/>
    </xf>
    <xf numFmtId="0" fontId="16" fillId="24" borderId="0" xfId="0" applyFont="1" applyFill="1" applyAlignment="1">
      <alignment horizontal="right" vertical="center"/>
    </xf>
    <xf numFmtId="0" fontId="16" fillId="30" borderId="0" xfId="0" applyFont="1" applyFill="1" applyAlignment="1">
      <alignment horizontal="left" vertical="center" indent="1"/>
    </xf>
    <xf numFmtId="0" fontId="0" fillId="0" borderId="30" xfId="0" applyBorder="1"/>
    <xf numFmtId="0" fontId="0" fillId="0" borderId="86" xfId="0" applyBorder="1"/>
    <xf numFmtId="49" fontId="37" fillId="28" borderId="67" xfId="11" applyNumberFormat="1" applyFont="1" applyFill="1" applyBorder="1" applyAlignment="1">
      <alignment horizontal="right" vertical="center"/>
    </xf>
    <xf numFmtId="0" fontId="12" fillId="27" borderId="87" xfId="0" applyFont="1" applyFill="1" applyBorder="1" applyAlignment="1">
      <alignment horizontal="center"/>
    </xf>
    <xf numFmtId="0" fontId="12" fillId="27" borderId="88" xfId="0" applyFont="1" applyFill="1" applyBorder="1" applyAlignment="1">
      <alignment horizontal="center"/>
    </xf>
    <xf numFmtId="49" fontId="53" fillId="28" borderId="66" xfId="11" applyNumberFormat="1" applyFont="1" applyFill="1" applyBorder="1" applyAlignment="1">
      <alignment horizontal="left" vertical="center"/>
    </xf>
    <xf numFmtId="49" fontId="53" fillId="28" borderId="41" xfId="11" applyNumberFormat="1" applyFont="1" applyFill="1" applyBorder="1" applyAlignment="1">
      <alignment horizontal="left" vertical="center"/>
    </xf>
    <xf numFmtId="49" fontId="53" fillId="28" borderId="72" xfId="11" applyNumberFormat="1" applyFont="1" applyFill="1" applyBorder="1" applyAlignment="1">
      <alignment horizontal="left" vertical="center"/>
    </xf>
    <xf numFmtId="49" fontId="53" fillId="28" borderId="9" xfId="11" applyNumberFormat="1" applyFont="1" applyFill="1" applyBorder="1" applyAlignment="1">
      <alignment horizontal="left" vertical="center"/>
    </xf>
    <xf numFmtId="0" fontId="0" fillId="0" borderId="89" xfId="0" applyBorder="1"/>
    <xf numFmtId="0" fontId="0" fillId="0" borderId="90" xfId="0" applyBorder="1"/>
    <xf numFmtId="0" fontId="0" fillId="0" borderId="91" xfId="0" applyBorder="1"/>
    <xf numFmtId="0" fontId="16" fillId="2" borderId="70" xfId="0" applyFont="1" applyFill="1" applyBorder="1"/>
    <xf numFmtId="0" fontId="0" fillId="0" borderId="71" xfId="0" applyBorder="1"/>
    <xf numFmtId="0" fontId="0" fillId="0" borderId="42" xfId="0" applyBorder="1"/>
    <xf numFmtId="0" fontId="9" fillId="0" borderId="24" xfId="0" applyFont="1" applyBorder="1" applyAlignment="1">
      <alignment horizontal="center" vertical="center"/>
    </xf>
    <xf numFmtId="0" fontId="60" fillId="10" borderId="55" xfId="0" applyFont="1" applyFill="1" applyBorder="1"/>
    <xf numFmtId="14" fontId="60" fillId="10" borderId="56" xfId="0" applyNumberFormat="1" applyFont="1" applyFill="1" applyBorder="1"/>
    <xf numFmtId="0" fontId="60" fillId="10" borderId="92" xfId="0" applyFont="1" applyFill="1" applyBorder="1"/>
    <xf numFmtId="14" fontId="60" fillId="10" borderId="93" xfId="0" applyNumberFormat="1" applyFont="1" applyFill="1" applyBorder="1"/>
    <xf numFmtId="14" fontId="60" fillId="10" borderId="94" xfId="0" applyNumberFormat="1" applyFont="1" applyFill="1" applyBorder="1"/>
    <xf numFmtId="0" fontId="57" fillId="0" borderId="55" xfId="0" applyFont="1" applyBorder="1"/>
    <xf numFmtId="14" fontId="57" fillId="0" borderId="56" xfId="0" applyNumberFormat="1" applyFont="1" applyBorder="1"/>
    <xf numFmtId="0" fontId="60" fillId="10" borderId="73" xfId="0" applyFont="1" applyFill="1" applyBorder="1"/>
    <xf numFmtId="14" fontId="60" fillId="10" borderId="29" xfId="0" applyNumberFormat="1" applyFont="1" applyFill="1" applyBorder="1"/>
    <xf numFmtId="14" fontId="60" fillId="10" borderId="35" xfId="0" applyNumberFormat="1" applyFont="1" applyFill="1" applyBorder="1"/>
    <xf numFmtId="14" fontId="60" fillId="10" borderId="31" xfId="0" applyNumberFormat="1" applyFont="1" applyFill="1" applyBorder="1"/>
    <xf numFmtId="0" fontId="57" fillId="0" borderId="57" xfId="0" applyFont="1" applyBorder="1"/>
    <xf numFmtId="14" fontId="57" fillId="0" borderId="58" xfId="0" applyNumberFormat="1" applyFont="1" applyBorder="1"/>
    <xf numFmtId="0" fontId="60" fillId="10" borderId="96" xfId="0" applyFont="1" applyFill="1" applyBorder="1"/>
    <xf numFmtId="14" fontId="60" fillId="10" borderId="97" xfId="0" applyNumberFormat="1" applyFont="1" applyFill="1" applyBorder="1"/>
    <xf numFmtId="14" fontId="60" fillId="10" borderId="98" xfId="0" applyNumberFormat="1" applyFont="1" applyFill="1" applyBorder="1"/>
    <xf numFmtId="0" fontId="57" fillId="0" borderId="53" xfId="0" applyFont="1" applyBorder="1"/>
    <xf numFmtId="14" fontId="57" fillId="0" borderId="37" xfId="0" applyNumberFormat="1" applyFont="1" applyBorder="1"/>
    <xf numFmtId="14" fontId="57" fillId="0" borderId="30" xfId="0" applyNumberFormat="1" applyFont="1" applyBorder="1"/>
    <xf numFmtId="14" fontId="57" fillId="0" borderId="29" xfId="0" applyNumberFormat="1" applyFont="1" applyBorder="1"/>
    <xf numFmtId="14" fontId="57" fillId="0" borderId="31" xfId="0" applyNumberFormat="1" applyFont="1" applyBorder="1"/>
    <xf numFmtId="0" fontId="57" fillId="0" borderId="59" xfId="0" applyFont="1" applyBorder="1"/>
    <xf numFmtId="14" fontId="57" fillId="0" borderId="50" xfId="0" applyNumberFormat="1" applyFont="1" applyBorder="1"/>
    <xf numFmtId="14" fontId="57" fillId="0" borderId="61" xfId="0" applyNumberFormat="1" applyFont="1" applyBorder="1"/>
    <xf numFmtId="14" fontId="57" fillId="0" borderId="62" xfId="0" applyNumberFormat="1" applyFont="1" applyBorder="1"/>
    <xf numFmtId="0" fontId="57" fillId="0" borderId="36" xfId="0" applyFont="1" applyBorder="1"/>
    <xf numFmtId="0" fontId="57" fillId="0" borderId="34" xfId="0" applyFont="1" applyBorder="1"/>
    <xf numFmtId="0" fontId="61" fillId="0" borderId="0" xfId="12" applyFont="1"/>
    <xf numFmtId="0" fontId="15" fillId="0" borderId="0" xfId="0" applyFont="1" applyProtection="1">
      <protection hidden="1"/>
    </xf>
    <xf numFmtId="0" fontId="15" fillId="0" borderId="0" xfId="0" applyFont="1" applyAlignment="1" applyProtection="1">
      <alignment horizontal="center"/>
      <protection hidden="1"/>
    </xf>
    <xf numFmtId="14" fontId="15" fillId="0" borderId="0" xfId="0" applyNumberFormat="1" applyFont="1" applyAlignment="1" applyProtection="1">
      <alignment horizontal="center"/>
      <protection hidden="1"/>
    </xf>
    <xf numFmtId="1" fontId="9" fillId="0" borderId="0" xfId="0" applyNumberFormat="1" applyFont="1" applyAlignment="1" applyProtection="1">
      <alignment horizontal="right"/>
      <protection hidden="1"/>
    </xf>
    <xf numFmtId="1" fontId="10" fillId="0" borderId="0" xfId="0" applyNumberFormat="1" applyFont="1" applyAlignment="1" applyProtection="1">
      <alignment horizontal="center"/>
      <protection hidden="1"/>
    </xf>
    <xf numFmtId="9" fontId="10" fillId="0" borderId="14" xfId="1" applyFont="1" applyBorder="1" applyAlignment="1" applyProtection="1">
      <alignment horizontal="center"/>
      <protection hidden="1"/>
    </xf>
    <xf numFmtId="9" fontId="10" fillId="0" borderId="1" xfId="1" applyFont="1" applyBorder="1" applyAlignment="1" applyProtection="1">
      <alignment horizontal="center"/>
      <protection hidden="1"/>
    </xf>
    <xf numFmtId="9" fontId="10" fillId="0" borderId="7" xfId="1" applyFont="1" applyBorder="1" applyAlignment="1" applyProtection="1">
      <alignment horizontal="center"/>
      <protection hidden="1"/>
    </xf>
    <xf numFmtId="9" fontId="10" fillId="0" borderId="0" xfId="1" applyFont="1" applyAlignment="1" applyProtection="1">
      <alignment horizontal="center"/>
      <protection hidden="1"/>
    </xf>
    <xf numFmtId="9" fontId="10" fillId="0" borderId="15" xfId="1" applyFont="1" applyBorder="1" applyAlignment="1" applyProtection="1">
      <alignment horizontal="center"/>
      <protection hidden="1"/>
    </xf>
    <xf numFmtId="9" fontId="10" fillId="0" borderId="0" xfId="1" applyFont="1" applyBorder="1" applyAlignment="1" applyProtection="1">
      <alignment horizontal="center"/>
      <protection hidden="1"/>
    </xf>
    <xf numFmtId="9" fontId="10" fillId="0" borderId="5" xfId="1" applyFont="1" applyBorder="1" applyAlignment="1" applyProtection="1">
      <alignment horizontal="center"/>
      <protection hidden="1"/>
    </xf>
    <xf numFmtId="9" fontId="10" fillId="0" borderId="10" xfId="1" applyFont="1" applyBorder="1" applyAlignment="1" applyProtection="1">
      <alignment horizontal="center"/>
      <protection hidden="1"/>
    </xf>
    <xf numFmtId="9" fontId="10" fillId="0" borderId="2" xfId="1" applyFont="1" applyBorder="1" applyAlignment="1" applyProtection="1">
      <alignment horizontal="center"/>
      <protection hidden="1"/>
    </xf>
    <xf numFmtId="9" fontId="10" fillId="0" borderId="6" xfId="1" applyFont="1" applyBorder="1" applyAlignment="1" applyProtection="1">
      <alignment horizontal="center"/>
      <protection hidden="1"/>
    </xf>
    <xf numFmtId="0" fontId="10" fillId="3" borderId="0" xfId="0" applyFont="1" applyFill="1" applyAlignment="1" applyProtection="1">
      <alignment horizontal="right"/>
      <protection hidden="1"/>
    </xf>
    <xf numFmtId="172" fontId="2" fillId="3" borderId="0" xfId="0" applyNumberFormat="1" applyFont="1" applyFill="1" applyProtection="1">
      <protection hidden="1"/>
    </xf>
    <xf numFmtId="9" fontId="2" fillId="3" borderId="0" xfId="1" applyFont="1" applyFill="1" applyAlignment="1" applyProtection="1">
      <alignment horizontal="center"/>
      <protection hidden="1"/>
    </xf>
    <xf numFmtId="0" fontId="0" fillId="3" borderId="0" xfId="0" applyFill="1" applyProtection="1">
      <protection hidden="1"/>
    </xf>
    <xf numFmtId="0" fontId="54" fillId="3" borderId="4" xfId="0" applyFont="1" applyFill="1" applyBorder="1" applyAlignment="1" applyProtection="1">
      <alignment horizontal="center"/>
      <protection hidden="1"/>
    </xf>
    <xf numFmtId="172" fontId="0" fillId="3" borderId="0" xfId="0" applyNumberFormat="1" applyFill="1" applyProtection="1">
      <protection hidden="1"/>
    </xf>
    <xf numFmtId="172" fontId="0" fillId="3" borderId="0" xfId="0" applyNumberFormat="1" applyFill="1" applyAlignment="1" applyProtection="1">
      <alignment horizontal="right"/>
      <protection hidden="1"/>
    </xf>
    <xf numFmtId="9" fontId="0" fillId="3" borderId="0" xfId="1" applyFont="1" applyFill="1" applyAlignment="1" applyProtection="1">
      <alignment horizontal="center"/>
      <protection hidden="1"/>
    </xf>
    <xf numFmtId="0" fontId="0" fillId="3" borderId="0" xfId="0" applyFill="1" applyAlignment="1" applyProtection="1">
      <alignment horizontal="left"/>
      <protection hidden="1"/>
    </xf>
    <xf numFmtId="44" fontId="1" fillId="3" borderId="0" xfId="1" applyNumberFormat="1" applyFont="1" applyFill="1" applyAlignment="1" applyProtection="1">
      <alignment horizontal="center"/>
      <protection hidden="1"/>
    </xf>
    <xf numFmtId="9" fontId="0" fillId="3" borderId="0" xfId="1" applyFont="1" applyFill="1" applyAlignment="1" applyProtection="1">
      <alignment horizontal="right"/>
      <protection hidden="1"/>
    </xf>
    <xf numFmtId="9" fontId="1" fillId="3" borderId="0" xfId="1" applyFont="1" applyFill="1" applyAlignment="1" applyProtection="1">
      <alignment horizontal="right"/>
      <protection hidden="1"/>
    </xf>
    <xf numFmtId="172" fontId="1" fillId="3" borderId="0" xfId="1" applyNumberFormat="1" applyFont="1" applyFill="1" applyAlignment="1" applyProtection="1">
      <alignment horizontal="center"/>
      <protection hidden="1"/>
    </xf>
    <xf numFmtId="9" fontId="1" fillId="3" borderId="0" xfId="1" applyFont="1" applyFill="1" applyAlignment="1" applyProtection="1">
      <alignment horizontal="center"/>
      <protection hidden="1"/>
    </xf>
    <xf numFmtId="14" fontId="1" fillId="3" borderId="0" xfId="1" applyNumberFormat="1" applyFont="1" applyFill="1" applyAlignment="1" applyProtection="1">
      <alignment horizontal="center"/>
      <protection hidden="1"/>
    </xf>
    <xf numFmtId="0" fontId="2" fillId="31" borderId="4" xfId="0" applyFont="1" applyFill="1" applyBorder="1" applyProtection="1">
      <protection hidden="1"/>
    </xf>
    <xf numFmtId="14" fontId="2" fillId="31" borderId="4" xfId="0" applyNumberFormat="1" applyFont="1" applyFill="1" applyBorder="1" applyAlignment="1" applyProtection="1">
      <alignment horizontal="right"/>
      <protection hidden="1"/>
    </xf>
    <xf numFmtId="14" fontId="2" fillId="31" borderId="4" xfId="0" applyNumberFormat="1" applyFont="1" applyFill="1" applyBorder="1" applyProtection="1">
      <protection hidden="1"/>
    </xf>
    <xf numFmtId="0" fontId="9" fillId="0" borderId="0" xfId="6" applyFont="1" applyBorder="1">
      <alignment horizontal="left" vertical="center" indent="2"/>
    </xf>
    <xf numFmtId="0" fontId="9" fillId="0" borderId="0" xfId="5" applyFont="1" applyBorder="1" applyAlignment="1">
      <alignment horizontal="left" vertical="center"/>
    </xf>
    <xf numFmtId="9" fontId="6" fillId="0" borderId="0" xfId="1" applyFont="1" applyBorder="1" applyAlignment="1">
      <alignment horizontal="center" vertical="center"/>
    </xf>
    <xf numFmtId="166" fontId="9" fillId="0" borderId="0" xfId="4" applyFont="1" applyBorder="1">
      <alignment horizontal="center" vertical="center"/>
    </xf>
    <xf numFmtId="0" fontId="16" fillId="24" borderId="0" xfId="0" applyFont="1" applyFill="1" applyAlignment="1" applyProtection="1">
      <alignment horizontal="left" vertical="center"/>
      <protection hidden="1"/>
    </xf>
    <xf numFmtId="0" fontId="16" fillId="24" borderId="0" xfId="0" applyFont="1" applyFill="1" applyAlignment="1" applyProtection="1">
      <alignment horizontal="left" vertical="center" indent="1"/>
      <protection hidden="1"/>
    </xf>
    <xf numFmtId="0" fontId="16" fillId="24" borderId="0" xfId="0" applyFont="1" applyFill="1" applyAlignment="1" applyProtection="1">
      <alignment horizontal="center" vertical="center" wrapText="1"/>
      <protection hidden="1"/>
    </xf>
    <xf numFmtId="0" fontId="9" fillId="0" borderId="0" xfId="0" applyFont="1" applyProtection="1">
      <protection hidden="1"/>
    </xf>
    <xf numFmtId="0" fontId="9" fillId="0" borderId="0" xfId="0" applyFont="1" applyAlignment="1" applyProtection="1">
      <alignment horizontal="center"/>
      <protection hidden="1"/>
    </xf>
    <xf numFmtId="0" fontId="55" fillId="0" borderId="17" xfId="12" applyFont="1" applyBorder="1" applyAlignment="1" applyProtection="1">
      <alignment horizontal="left" vertical="center" indent="1"/>
      <protection hidden="1"/>
    </xf>
    <xf numFmtId="0" fontId="56" fillId="0" borderId="17" xfId="0" applyFont="1" applyBorder="1" applyAlignment="1" applyProtection="1">
      <alignment horizontal="left" vertical="center" indent="1"/>
      <protection hidden="1"/>
    </xf>
    <xf numFmtId="0" fontId="57" fillId="0" borderId="17" xfId="5" applyFont="1" applyFill="1" applyAlignment="1" applyProtection="1">
      <alignment horizontal="left" vertical="center"/>
      <protection hidden="1"/>
    </xf>
    <xf numFmtId="9" fontId="58" fillId="0" borderId="17" xfId="1" applyFont="1" applyFill="1" applyBorder="1" applyAlignment="1" applyProtection="1">
      <alignment horizontal="center" vertical="center"/>
      <protection hidden="1"/>
    </xf>
    <xf numFmtId="14" fontId="57" fillId="0" borderId="17" xfId="0" applyNumberFormat="1" applyFont="1" applyBorder="1" applyAlignment="1" applyProtection="1">
      <alignment horizontal="center" vertical="center"/>
      <protection hidden="1"/>
    </xf>
    <xf numFmtId="14" fontId="58" fillId="0" borderId="17" xfId="0" applyNumberFormat="1" applyFont="1" applyBorder="1" applyAlignment="1" applyProtection="1">
      <alignment horizontal="center" vertical="center"/>
      <protection hidden="1"/>
    </xf>
    <xf numFmtId="0" fontId="58" fillId="0" borderId="17" xfId="0" applyFont="1" applyBorder="1" applyAlignment="1" applyProtection="1">
      <alignment horizontal="center" vertical="center"/>
      <protection hidden="1"/>
    </xf>
    <xf numFmtId="0" fontId="57" fillId="0" borderId="17" xfId="6" applyFont="1" applyFill="1" applyAlignment="1" applyProtection="1">
      <alignment horizontal="left" vertical="center"/>
      <protection hidden="1"/>
    </xf>
    <xf numFmtId="0" fontId="57" fillId="0" borderId="17" xfId="6" applyFont="1" applyFill="1" applyProtection="1">
      <alignment horizontal="left" vertical="center" indent="2"/>
      <protection hidden="1"/>
    </xf>
    <xf numFmtId="14" fontId="57" fillId="0" borderId="17" xfId="4" applyNumberFormat="1" applyFont="1" applyFill="1" applyProtection="1">
      <alignment horizontal="center" vertical="center"/>
      <protection hidden="1"/>
    </xf>
    <xf numFmtId="1" fontId="58" fillId="0" borderId="17" xfId="0" applyNumberFormat="1" applyFont="1" applyBorder="1" applyAlignment="1" applyProtection="1">
      <alignment horizontal="center" vertical="center"/>
      <protection hidden="1"/>
    </xf>
    <xf numFmtId="14" fontId="57" fillId="0" borderId="17" xfId="6" applyNumberFormat="1" applyFont="1" applyFill="1" applyProtection="1">
      <alignment horizontal="left" vertical="center" indent="2"/>
      <protection hidden="1"/>
    </xf>
    <xf numFmtId="0" fontId="57" fillId="0" borderId="25" xfId="6" applyFont="1" applyFill="1" applyBorder="1" applyAlignment="1" applyProtection="1">
      <alignment horizontal="left" vertical="center"/>
      <protection hidden="1"/>
    </xf>
    <xf numFmtId="0" fontId="57" fillId="0" borderId="25" xfId="6" applyFont="1" applyFill="1" applyBorder="1" applyProtection="1">
      <alignment horizontal="left" vertical="center" indent="2"/>
      <protection hidden="1"/>
    </xf>
    <xf numFmtId="0" fontId="57" fillId="0" borderId="25" xfId="5" applyFont="1" applyFill="1" applyBorder="1" applyAlignment="1" applyProtection="1">
      <alignment horizontal="left" vertical="center"/>
      <protection hidden="1"/>
    </xf>
    <xf numFmtId="9" fontId="58" fillId="0" borderId="25" xfId="1" applyFont="1" applyFill="1" applyBorder="1" applyAlignment="1" applyProtection="1">
      <alignment horizontal="center" vertical="center"/>
      <protection hidden="1"/>
    </xf>
    <xf numFmtId="14" fontId="57" fillId="0" borderId="25" xfId="4" applyNumberFormat="1" applyFont="1" applyFill="1" applyBorder="1" applyProtection="1">
      <alignment horizontal="center" vertical="center"/>
      <protection hidden="1"/>
    </xf>
    <xf numFmtId="1" fontId="58" fillId="0" borderId="25" xfId="0" applyNumberFormat="1" applyFont="1" applyBorder="1" applyAlignment="1" applyProtection="1">
      <alignment horizontal="center" vertical="center"/>
      <protection hidden="1"/>
    </xf>
    <xf numFmtId="0" fontId="58" fillId="0" borderId="25" xfId="0" applyFont="1" applyBorder="1" applyAlignment="1" applyProtection="1">
      <alignment horizontal="center" vertical="center"/>
      <protection hidden="1"/>
    </xf>
    <xf numFmtId="49" fontId="10" fillId="27" borderId="41" xfId="0" quotePrefix="1" applyNumberFormat="1" applyFont="1" applyFill="1" applyBorder="1" applyAlignment="1" applyProtection="1">
      <alignment horizontal="right"/>
      <protection hidden="1"/>
    </xf>
    <xf numFmtId="0" fontId="10" fillId="27" borderId="1" xfId="0" applyFont="1" applyFill="1" applyBorder="1" applyProtection="1">
      <protection hidden="1"/>
    </xf>
    <xf numFmtId="14" fontId="10" fillId="27" borderId="7" xfId="0" applyNumberFormat="1" applyFont="1" applyFill="1" applyBorder="1" applyProtection="1">
      <protection hidden="1"/>
    </xf>
    <xf numFmtId="169" fontId="9" fillId="0" borderId="0" xfId="0" applyNumberFormat="1" applyFont="1" applyProtection="1">
      <protection hidden="1"/>
    </xf>
    <xf numFmtId="0" fontId="9" fillId="0" borderId="1" xfId="0" applyFont="1" applyBorder="1" applyAlignment="1" applyProtection="1">
      <alignment horizontal="center"/>
      <protection hidden="1"/>
    </xf>
    <xf numFmtId="0" fontId="9" fillId="0" borderId="1" xfId="0" applyFont="1" applyBorder="1" applyProtection="1">
      <protection hidden="1"/>
    </xf>
    <xf numFmtId="164" fontId="9" fillId="27" borderId="14" xfId="0" applyNumberFormat="1" applyFont="1" applyFill="1" applyBorder="1" applyProtection="1">
      <protection hidden="1"/>
    </xf>
    <xf numFmtId="49" fontId="9" fillId="27" borderId="42" xfId="0" applyNumberFormat="1" applyFont="1" applyFill="1" applyBorder="1" applyAlignment="1" applyProtection="1">
      <alignment horizontal="right"/>
      <protection hidden="1"/>
    </xf>
    <xf numFmtId="0" fontId="9" fillId="27" borderId="0" xfId="0" applyFont="1" applyFill="1" applyProtection="1">
      <protection hidden="1"/>
    </xf>
    <xf numFmtId="14" fontId="9" fillId="27" borderId="0" xfId="0" applyNumberFormat="1" applyFont="1" applyFill="1" applyProtection="1">
      <protection hidden="1"/>
    </xf>
    <xf numFmtId="14" fontId="9" fillId="27" borderId="7" xfId="0" applyNumberFormat="1" applyFont="1" applyFill="1" applyBorder="1" applyProtection="1">
      <protection hidden="1"/>
    </xf>
    <xf numFmtId="9" fontId="9" fillId="0" borderId="0" xfId="1" applyFont="1" applyFill="1" applyBorder="1" applyAlignment="1" applyProtection="1">
      <alignment horizontal="center"/>
      <protection hidden="1"/>
    </xf>
    <xf numFmtId="0" fontId="10" fillId="27" borderId="40" xfId="0" applyFont="1" applyFill="1" applyBorder="1" applyAlignment="1" applyProtection="1">
      <alignment horizontal="center"/>
      <protection hidden="1"/>
    </xf>
    <xf numFmtId="0" fontId="9" fillId="27" borderId="14" xfId="0" applyFont="1" applyFill="1" applyBorder="1" applyAlignment="1" applyProtection="1">
      <alignment horizontal="center"/>
      <protection hidden="1"/>
    </xf>
    <xf numFmtId="0" fontId="9" fillId="27" borderId="1" xfId="0" applyFont="1" applyFill="1" applyBorder="1" applyAlignment="1" applyProtection="1">
      <alignment horizontal="center"/>
      <protection hidden="1"/>
    </xf>
    <xf numFmtId="164" fontId="9" fillId="27" borderId="0" xfId="0" applyNumberFormat="1" applyFont="1" applyFill="1" applyProtection="1">
      <protection hidden="1"/>
    </xf>
    <xf numFmtId="14" fontId="9" fillId="27" borderId="5" xfId="0" applyNumberFormat="1" applyFont="1" applyFill="1" applyBorder="1" applyProtection="1">
      <protection hidden="1"/>
    </xf>
    <xf numFmtId="0" fontId="9" fillId="27" borderId="15" xfId="0" applyFont="1" applyFill="1" applyBorder="1" applyAlignment="1" applyProtection="1">
      <alignment horizontal="center"/>
      <protection hidden="1"/>
    </xf>
    <xf numFmtId="0" fontId="9" fillId="27" borderId="0" xfId="0" applyFont="1" applyFill="1" applyAlignment="1" applyProtection="1">
      <alignment horizontal="center"/>
      <protection hidden="1"/>
    </xf>
    <xf numFmtId="14" fontId="9" fillId="27" borderId="6" xfId="0" applyNumberFormat="1" applyFont="1" applyFill="1" applyBorder="1" applyProtection="1">
      <protection hidden="1"/>
    </xf>
    <xf numFmtId="0" fontId="9" fillId="27" borderId="2" xfId="0" applyFont="1" applyFill="1" applyBorder="1" applyAlignment="1" applyProtection="1">
      <alignment horizontal="center"/>
      <protection hidden="1"/>
    </xf>
    <xf numFmtId="0" fontId="10" fillId="27" borderId="2" xfId="0" applyFont="1" applyFill="1" applyBorder="1" applyProtection="1">
      <protection hidden="1"/>
    </xf>
    <xf numFmtId="14" fontId="10" fillId="27" borderId="6" xfId="0" applyNumberFormat="1" applyFont="1" applyFill="1" applyBorder="1" applyProtection="1">
      <protection hidden="1"/>
    </xf>
    <xf numFmtId="14" fontId="10" fillId="0" borderId="2" xfId="0" applyNumberFormat="1" applyFont="1" applyBorder="1" applyProtection="1">
      <protection hidden="1"/>
    </xf>
    <xf numFmtId="0" fontId="10" fillId="27" borderId="64" xfId="0" applyFont="1" applyFill="1" applyBorder="1" applyAlignment="1" applyProtection="1">
      <alignment horizontal="center"/>
      <protection hidden="1"/>
    </xf>
    <xf numFmtId="0" fontId="9" fillId="0" borderId="2" xfId="0" applyFont="1" applyBorder="1" applyAlignment="1" applyProtection="1">
      <alignment horizontal="center"/>
      <protection hidden="1"/>
    </xf>
    <xf numFmtId="0" fontId="9" fillId="0" borderId="2" xfId="0" applyFont="1" applyBorder="1" applyProtection="1">
      <protection hidden="1"/>
    </xf>
    <xf numFmtId="0" fontId="10" fillId="27" borderId="63" xfId="0" applyFont="1" applyFill="1" applyBorder="1" applyAlignment="1" applyProtection="1">
      <alignment horizontal="center"/>
      <protection hidden="1"/>
    </xf>
    <xf numFmtId="164" fontId="9" fillId="27" borderId="10" xfId="0" applyNumberFormat="1" applyFont="1" applyFill="1" applyBorder="1" applyProtection="1">
      <protection hidden="1"/>
    </xf>
    <xf numFmtId="14" fontId="9" fillId="3" borderId="0" xfId="0" applyNumberFormat="1" applyFont="1" applyFill="1" applyProtection="1">
      <protection hidden="1"/>
    </xf>
    <xf numFmtId="0" fontId="9" fillId="3" borderId="1" xfId="0" applyFont="1" applyFill="1" applyBorder="1" applyAlignment="1" applyProtection="1">
      <alignment horizontal="center"/>
      <protection hidden="1"/>
    </xf>
    <xf numFmtId="0" fontId="9" fillId="3" borderId="1" xfId="0" applyFont="1" applyFill="1" applyBorder="1" applyProtection="1">
      <protection hidden="1"/>
    </xf>
    <xf numFmtId="0" fontId="9" fillId="28" borderId="0" xfId="0" applyFont="1" applyFill="1" applyAlignment="1" applyProtection="1">
      <alignment horizontal="center"/>
      <protection hidden="1"/>
    </xf>
    <xf numFmtId="0" fontId="9" fillId="3" borderId="0" xfId="0" applyFont="1" applyFill="1" applyProtection="1">
      <protection hidden="1"/>
    </xf>
    <xf numFmtId="0" fontId="9" fillId="3" borderId="0" xfId="0" applyFont="1" applyFill="1" applyAlignment="1" applyProtection="1">
      <alignment horizontal="center"/>
      <protection hidden="1"/>
    </xf>
    <xf numFmtId="9" fontId="9" fillId="3" borderId="0" xfId="1" applyFont="1" applyFill="1" applyBorder="1" applyAlignment="1" applyProtection="1">
      <alignment horizontal="center"/>
      <protection hidden="1"/>
    </xf>
    <xf numFmtId="14" fontId="10" fillId="3" borderId="2" xfId="0" applyNumberFormat="1" applyFont="1" applyFill="1" applyBorder="1" applyProtection="1">
      <protection hidden="1"/>
    </xf>
    <xf numFmtId="0" fontId="9" fillId="3" borderId="2" xfId="0" applyFont="1" applyFill="1" applyBorder="1" applyAlignment="1" applyProtection="1">
      <alignment horizontal="center"/>
      <protection hidden="1"/>
    </xf>
    <xf numFmtId="0" fontId="9" fillId="3" borderId="2" xfId="0" applyFont="1" applyFill="1" applyBorder="1" applyProtection="1">
      <protection hidden="1"/>
    </xf>
    <xf numFmtId="0" fontId="9" fillId="28" borderId="2" xfId="0" applyFont="1" applyFill="1" applyBorder="1" applyAlignment="1" applyProtection="1">
      <alignment horizontal="center"/>
      <protection hidden="1"/>
    </xf>
    <xf numFmtId="14" fontId="9" fillId="0" borderId="0" xfId="0" applyNumberFormat="1" applyFont="1" applyProtection="1">
      <protection hidden="1"/>
    </xf>
    <xf numFmtId="9" fontId="9" fillId="0" borderId="0" xfId="1" applyFont="1" applyBorder="1" applyAlignment="1" applyProtection="1">
      <alignment horizontal="center"/>
      <protection hidden="1"/>
    </xf>
    <xf numFmtId="0" fontId="10" fillId="27" borderId="0" xfId="0" applyFont="1" applyFill="1" applyProtection="1">
      <protection hidden="1"/>
    </xf>
    <xf numFmtId="0" fontId="0" fillId="0" borderId="0" xfId="0" applyAlignment="1" applyProtection="1">
      <alignment horizontal="left" vertical="center"/>
      <protection hidden="1"/>
    </xf>
    <xf numFmtId="0" fontId="0" fillId="0" borderId="0" xfId="0" applyAlignment="1" applyProtection="1">
      <alignment horizontal="left"/>
      <protection hidden="1"/>
    </xf>
    <xf numFmtId="0" fontId="0" fillId="0" borderId="0" xfId="0" applyAlignment="1" applyProtection="1">
      <alignment horizontal="center"/>
      <protection hidden="1"/>
    </xf>
    <xf numFmtId="169" fontId="0" fillId="0" borderId="0" xfId="0" applyNumberFormat="1" applyAlignment="1" applyProtection="1">
      <alignment horizontal="center"/>
      <protection hidden="1"/>
    </xf>
    <xf numFmtId="0" fontId="26" fillId="3" borderId="67" xfId="0" applyFont="1" applyFill="1" applyBorder="1" applyProtection="1">
      <protection hidden="1"/>
    </xf>
    <xf numFmtId="0" fontId="2" fillId="31" borderId="4" xfId="0" applyFont="1" applyFill="1" applyBorder="1" applyAlignment="1" applyProtection="1">
      <alignment horizontal="right"/>
      <protection hidden="1"/>
    </xf>
    <xf numFmtId="164" fontId="60" fillId="10" borderId="95" xfId="0" applyNumberFormat="1" applyFont="1" applyFill="1" applyBorder="1" applyProtection="1">
      <protection hidden="1"/>
    </xf>
    <xf numFmtId="164" fontId="60" fillId="10" borderId="74" xfId="0" applyNumberFormat="1" applyFont="1" applyFill="1" applyBorder="1" applyProtection="1">
      <protection hidden="1"/>
    </xf>
    <xf numFmtId="164" fontId="60" fillId="10" borderId="99" xfId="0" applyNumberFormat="1" applyFont="1" applyFill="1" applyBorder="1" applyProtection="1">
      <protection hidden="1"/>
    </xf>
    <xf numFmtId="164" fontId="57" fillId="0" borderId="54" xfId="0" applyNumberFormat="1" applyFont="1" applyBorder="1" applyProtection="1">
      <protection hidden="1"/>
    </xf>
    <xf numFmtId="164" fontId="57" fillId="0" borderId="56" xfId="0" applyNumberFormat="1" applyFont="1" applyBorder="1" applyProtection="1">
      <protection hidden="1"/>
    </xf>
    <xf numFmtId="164" fontId="57" fillId="0" borderId="60" xfId="0" applyNumberFormat="1" applyFont="1" applyBorder="1" applyProtection="1">
      <protection hidden="1"/>
    </xf>
    <xf numFmtId="164" fontId="57" fillId="0" borderId="58" xfId="0" applyNumberFormat="1" applyFont="1" applyBorder="1" applyProtection="1">
      <protection hidden="1"/>
    </xf>
    <xf numFmtId="164" fontId="57" fillId="0" borderId="31" xfId="0" applyNumberFormat="1" applyFont="1" applyBorder="1" applyProtection="1">
      <protection hidden="1"/>
    </xf>
    <xf numFmtId="164" fontId="57" fillId="0" borderId="35" xfId="0" applyNumberFormat="1" applyFont="1" applyBorder="1" applyProtection="1">
      <protection hidden="1"/>
    </xf>
    <xf numFmtId="0" fontId="0" fillId="0" borderId="46" xfId="0" applyBorder="1" applyProtection="1">
      <protection hidden="1"/>
    </xf>
    <xf numFmtId="14" fontId="0" fillId="0" borderId="0" xfId="0" applyNumberFormat="1" applyProtection="1">
      <protection hidden="1"/>
    </xf>
    <xf numFmtId="0" fontId="0" fillId="0" borderId="45" xfId="0" applyBorder="1" applyProtection="1">
      <protection hidden="1"/>
    </xf>
    <xf numFmtId="0" fontId="0" fillId="0" borderId="47" xfId="0" applyBorder="1" applyProtection="1">
      <protection hidden="1"/>
    </xf>
    <xf numFmtId="14" fontId="0" fillId="0" borderId="48" xfId="0" applyNumberFormat="1" applyBorder="1" applyProtection="1">
      <protection hidden="1"/>
    </xf>
    <xf numFmtId="0" fontId="0" fillId="0" borderId="49" xfId="0" applyBorder="1" applyProtection="1">
      <protection hidden="1"/>
    </xf>
    <xf numFmtId="0" fontId="0" fillId="3" borderId="9" xfId="0" applyFill="1" applyBorder="1"/>
    <xf numFmtId="0" fontId="27" fillId="3" borderId="26" xfId="0" applyFont="1" applyFill="1" applyBorder="1"/>
    <xf numFmtId="0" fontId="31" fillId="0" borderId="0" xfId="2" applyFont="1" applyAlignment="1" applyProtection="1">
      <alignment horizontal="left"/>
      <protection hidden="1"/>
    </xf>
    <xf numFmtId="0" fontId="9" fillId="0" borderId="0" xfId="0" applyFont="1" applyAlignment="1" applyProtection="1">
      <alignment horizontal="left" wrapText="1"/>
      <protection hidden="1"/>
    </xf>
    <xf numFmtId="0" fontId="10" fillId="0" borderId="1" xfId="0" applyFont="1" applyBorder="1"/>
    <xf numFmtId="0" fontId="45" fillId="0" borderId="0" xfId="0" applyFont="1"/>
    <xf numFmtId="0" fontId="10" fillId="27" borderId="2" xfId="0" applyFont="1" applyFill="1" applyBorder="1"/>
    <xf numFmtId="0" fontId="10" fillId="3" borderId="1" xfId="0" applyFont="1" applyFill="1" applyBorder="1"/>
    <xf numFmtId="0" fontId="9" fillId="3" borderId="0" xfId="0" applyFont="1" applyFill="1"/>
    <xf numFmtId="0" fontId="10" fillId="0" borderId="1" xfId="0" quotePrefix="1" applyFont="1" applyBorder="1"/>
    <xf numFmtId="0" fontId="10" fillId="3" borderId="0" xfId="0" quotePrefix="1" applyFont="1" applyFill="1"/>
    <xf numFmtId="49" fontId="10" fillId="0" borderId="1" xfId="0" quotePrefix="1" applyNumberFormat="1" applyFont="1" applyBorder="1"/>
    <xf numFmtId="0" fontId="10" fillId="3" borderId="1" xfId="0" quotePrefix="1" applyFont="1" applyFill="1" applyBorder="1"/>
    <xf numFmtId="0" fontId="10" fillId="0" borderId="0" xfId="0" quotePrefix="1" applyFont="1"/>
    <xf numFmtId="0" fontId="10" fillId="27" borderId="0" xfId="0" applyFont="1" applyFill="1"/>
    <xf numFmtId="49" fontId="9" fillId="11" borderId="0" xfId="0" applyNumberFormat="1" applyFont="1" applyFill="1" applyAlignment="1">
      <alignment horizontal="right"/>
    </xf>
    <xf numFmtId="49" fontId="9" fillId="27" borderId="2" xfId="0" applyNumberFormat="1" applyFont="1" applyFill="1" applyBorder="1" applyAlignment="1">
      <alignment horizontal="right"/>
    </xf>
    <xf numFmtId="49" fontId="10" fillId="12" borderId="1" xfId="0" applyNumberFormat="1" applyFont="1" applyFill="1" applyBorder="1" applyAlignment="1">
      <alignment horizontal="right"/>
    </xf>
    <xf numFmtId="49" fontId="9" fillId="12" borderId="0" xfId="0" applyNumberFormat="1" applyFont="1" applyFill="1" applyAlignment="1">
      <alignment horizontal="right"/>
    </xf>
    <xf numFmtId="49" fontId="10" fillId="13" borderId="1" xfId="0" applyNumberFormat="1" applyFont="1" applyFill="1" applyBorder="1" applyAlignment="1">
      <alignment horizontal="right"/>
    </xf>
    <xf numFmtId="49" fontId="9" fillId="13" borderId="0" xfId="0" applyNumberFormat="1" applyFont="1" applyFill="1" applyAlignment="1">
      <alignment horizontal="right"/>
    </xf>
    <xf numFmtId="49" fontId="10" fillId="14" borderId="1" xfId="0" applyNumberFormat="1" applyFont="1" applyFill="1" applyBorder="1" applyAlignment="1">
      <alignment horizontal="right"/>
    </xf>
    <xf numFmtId="49" fontId="9" fillId="14" borderId="0" xfId="0" applyNumberFormat="1" applyFont="1" applyFill="1" applyAlignment="1">
      <alignment horizontal="right"/>
    </xf>
    <xf numFmtId="0" fontId="10" fillId="15" borderId="1" xfId="0" applyFont="1" applyFill="1" applyBorder="1" applyAlignment="1">
      <alignment horizontal="right"/>
    </xf>
    <xf numFmtId="49" fontId="9" fillId="15" borderId="0" xfId="0" applyNumberFormat="1" applyFont="1" applyFill="1" applyAlignment="1">
      <alignment horizontal="right"/>
    </xf>
    <xf numFmtId="49" fontId="10" fillId="9" borderId="0" xfId="0" applyNumberFormat="1" applyFont="1" applyFill="1" applyAlignment="1">
      <alignment horizontal="right"/>
    </xf>
    <xf numFmtId="49" fontId="9" fillId="9" borderId="0" xfId="0" applyNumberFormat="1" applyFont="1" applyFill="1" applyAlignment="1">
      <alignment horizontal="right"/>
    </xf>
    <xf numFmtId="49" fontId="9" fillId="27" borderId="0" xfId="0" applyNumberFormat="1" applyFont="1" applyFill="1" applyAlignment="1">
      <alignment horizontal="right"/>
    </xf>
    <xf numFmtId="49" fontId="10" fillId="16" borderId="1" xfId="0" applyNumberFormat="1" applyFont="1" applyFill="1" applyBorder="1" applyAlignment="1">
      <alignment horizontal="right"/>
    </xf>
    <xf numFmtId="49" fontId="9" fillId="16" borderId="0" xfId="0" applyNumberFormat="1" applyFont="1" applyFill="1" applyAlignment="1">
      <alignment horizontal="right"/>
    </xf>
    <xf numFmtId="49" fontId="10" fillId="17" borderId="1" xfId="0" applyNumberFormat="1" applyFont="1" applyFill="1" applyBorder="1" applyAlignment="1">
      <alignment horizontal="right"/>
    </xf>
    <xf numFmtId="49" fontId="9" fillId="17" borderId="0" xfId="0" applyNumberFormat="1" applyFont="1" applyFill="1" applyAlignment="1">
      <alignment horizontal="right"/>
    </xf>
    <xf numFmtId="49" fontId="10" fillId="18" borderId="1" xfId="0" applyNumberFormat="1" applyFont="1" applyFill="1" applyBorder="1" applyAlignment="1">
      <alignment horizontal="right"/>
    </xf>
    <xf numFmtId="49" fontId="9" fillId="18" borderId="0" xfId="0" applyNumberFormat="1" applyFont="1" applyFill="1" applyAlignment="1">
      <alignment horizontal="right"/>
    </xf>
    <xf numFmtId="49" fontId="10" fillId="19" borderId="0" xfId="0" applyNumberFormat="1" applyFont="1" applyFill="1" applyAlignment="1">
      <alignment horizontal="right"/>
    </xf>
    <xf numFmtId="49" fontId="9" fillId="19" borderId="0" xfId="0" applyNumberFormat="1" applyFont="1" applyFill="1" applyAlignment="1">
      <alignment horizontal="right"/>
    </xf>
    <xf numFmtId="49" fontId="10" fillId="20" borderId="1" xfId="0" applyNumberFormat="1" applyFont="1" applyFill="1" applyBorder="1" applyAlignment="1">
      <alignment horizontal="right"/>
    </xf>
    <xf numFmtId="49" fontId="9" fillId="20" borderId="0" xfId="0" applyNumberFormat="1" applyFont="1" applyFill="1" applyAlignment="1">
      <alignment horizontal="right"/>
    </xf>
    <xf numFmtId="49" fontId="10" fillId="21" borderId="1" xfId="0" applyNumberFormat="1" applyFont="1" applyFill="1" applyBorder="1" applyAlignment="1">
      <alignment horizontal="right"/>
    </xf>
    <xf numFmtId="49" fontId="9" fillId="21" borderId="0" xfId="0" applyNumberFormat="1" applyFont="1" applyFill="1" applyAlignment="1">
      <alignment horizontal="right"/>
    </xf>
    <xf numFmtId="49" fontId="10" fillId="22" borderId="0" xfId="0" applyNumberFormat="1" applyFont="1" applyFill="1" applyAlignment="1">
      <alignment horizontal="right"/>
    </xf>
    <xf numFmtId="49" fontId="9" fillId="22" borderId="0" xfId="0" applyNumberFormat="1" applyFont="1" applyFill="1" applyAlignment="1">
      <alignment horizontal="right"/>
    </xf>
    <xf numFmtId="14" fontId="37" fillId="28" borderId="67" xfId="11" applyNumberFormat="1" applyFont="1" applyFill="1" applyBorder="1" applyAlignment="1" applyProtection="1">
      <alignment horizontal="left" vertical="center"/>
      <protection hidden="1"/>
    </xf>
    <xf numFmtId="172" fontId="37" fillId="28" borderId="67" xfId="11" applyNumberFormat="1" applyFont="1" applyFill="1" applyBorder="1" applyAlignment="1" applyProtection="1">
      <alignment horizontal="left" vertical="center"/>
      <protection hidden="1"/>
    </xf>
    <xf numFmtId="0" fontId="2" fillId="31" borderId="4" xfId="0" applyFont="1" applyFill="1" applyBorder="1" applyAlignment="1" applyProtection="1">
      <alignment horizontal="center"/>
      <protection hidden="1"/>
    </xf>
    <xf numFmtId="0" fontId="8" fillId="31" borderId="0" xfId="0" applyFont="1" applyFill="1" applyProtection="1">
      <protection hidden="1"/>
    </xf>
    <xf numFmtId="14" fontId="1" fillId="3" borderId="0" xfId="1" applyNumberFormat="1" applyFont="1" applyFill="1" applyAlignment="1" applyProtection="1">
      <alignment horizontal="left"/>
      <protection hidden="1"/>
    </xf>
    <xf numFmtId="169" fontId="0" fillId="0" borderId="0" xfId="0" applyNumberFormat="1" applyProtection="1">
      <protection hidden="1"/>
    </xf>
    <xf numFmtId="0" fontId="39" fillId="0" borderId="0" xfId="0" applyFont="1" applyAlignment="1">
      <alignment horizontal="left" vertical="center" wrapText="1"/>
    </xf>
    <xf numFmtId="0" fontId="54" fillId="3" borderId="4" xfId="0" applyFont="1" applyFill="1" applyBorder="1" applyAlignment="1">
      <alignment horizontal="center"/>
    </xf>
    <xf numFmtId="0" fontId="22" fillId="6" borderId="0" xfId="0" applyFont="1" applyFill="1" applyAlignment="1">
      <alignment horizontal="center"/>
    </xf>
    <xf numFmtId="0" fontId="0" fillId="0" borderId="0" xfId="0" applyAlignment="1">
      <alignment horizontal="center" wrapText="1"/>
    </xf>
    <xf numFmtId="0" fontId="47" fillId="3" borderId="9" xfId="0" applyFont="1" applyFill="1" applyBorder="1" applyAlignment="1">
      <alignment horizontal="center" vertical="center" wrapText="1"/>
    </xf>
    <xf numFmtId="0" fontId="47" fillId="3" borderId="8" xfId="0" applyFont="1" applyFill="1" applyBorder="1" applyAlignment="1">
      <alignment horizontal="center" vertical="center" wrapText="1"/>
    </xf>
    <xf numFmtId="0" fontId="49" fillId="3" borderId="9" xfId="0" applyFont="1" applyFill="1" applyBorder="1" applyAlignment="1">
      <alignment horizontal="center" vertical="center" wrapText="1"/>
    </xf>
    <xf numFmtId="0" fontId="49" fillId="3" borderId="8" xfId="0" applyFont="1" applyFill="1" applyBorder="1" applyAlignment="1">
      <alignment horizontal="center" vertical="center" wrapText="1"/>
    </xf>
    <xf numFmtId="0" fontId="42" fillId="3" borderId="0" xfId="0" applyFont="1" applyFill="1" applyAlignment="1">
      <alignment horizontal="left" vertical="center" wrapText="1"/>
    </xf>
    <xf numFmtId="0" fontId="42" fillId="3" borderId="0" xfId="0" applyFont="1" applyFill="1" applyAlignment="1">
      <alignment horizontal="left" wrapText="1"/>
    </xf>
    <xf numFmtId="49" fontId="37" fillId="0" borderId="0" xfId="11" applyNumberFormat="1" applyFont="1" applyAlignment="1">
      <alignment horizontal="center" vertical="center" wrapText="1"/>
    </xf>
    <xf numFmtId="167" fontId="10" fillId="3" borderId="23" xfId="0" applyNumberFormat="1" applyFont="1" applyFill="1" applyBorder="1" applyAlignment="1">
      <alignment horizontal="center" vertical="center" wrapText="1"/>
    </xf>
    <xf numFmtId="167" fontId="10" fillId="3" borderId="19" xfId="0" applyNumberFormat="1" applyFont="1" applyFill="1" applyBorder="1" applyAlignment="1">
      <alignment horizontal="center" vertical="center" wrapText="1"/>
    </xf>
    <xf numFmtId="167" fontId="10" fillId="3" borderId="22" xfId="0" applyNumberFormat="1" applyFont="1" applyFill="1" applyBorder="1" applyAlignment="1">
      <alignment horizontal="center" vertical="center" wrapText="1"/>
    </xf>
    <xf numFmtId="0" fontId="10" fillId="0" borderId="0" xfId="7" applyFont="1">
      <alignment horizontal="right" indent="1"/>
    </xf>
    <xf numFmtId="0" fontId="10" fillId="0" borderId="20" xfId="7" applyFont="1" applyBorder="1">
      <alignment horizontal="right" indent="1"/>
    </xf>
    <xf numFmtId="168" fontId="10" fillId="0" borderId="24" xfId="8" applyFont="1">
      <alignment horizontal="center" vertical="center"/>
    </xf>
    <xf numFmtId="167" fontId="10" fillId="3" borderId="14" xfId="0" applyNumberFormat="1" applyFont="1" applyFill="1" applyBorder="1" applyAlignment="1">
      <alignment horizontal="center" vertical="center" wrapText="1"/>
    </xf>
    <xf numFmtId="167" fontId="10" fillId="3" borderId="1" xfId="0" applyNumberFormat="1" applyFont="1" applyFill="1" applyBorder="1" applyAlignment="1">
      <alignment horizontal="center" vertical="center" wrapText="1"/>
    </xf>
    <xf numFmtId="167" fontId="10" fillId="3" borderId="52" xfId="0" applyNumberFormat="1" applyFont="1" applyFill="1" applyBorder="1" applyAlignment="1">
      <alignment horizontal="center" vertical="center" wrapText="1"/>
    </xf>
    <xf numFmtId="167" fontId="10" fillId="3" borderId="21" xfId="0" applyNumberFormat="1" applyFont="1" applyFill="1" applyBorder="1" applyAlignment="1">
      <alignment horizontal="center" vertical="center" wrapText="1"/>
    </xf>
    <xf numFmtId="168" fontId="10" fillId="0" borderId="12" xfId="8" applyFont="1" applyBorder="1">
      <alignment horizontal="center" vertical="center"/>
    </xf>
    <xf numFmtId="168" fontId="10" fillId="0" borderId="4" xfId="8" applyFont="1" applyBorder="1">
      <alignment horizontal="center" vertical="center"/>
    </xf>
    <xf numFmtId="14" fontId="37" fillId="28" borderId="67" xfId="11" applyNumberFormat="1" applyFont="1" applyFill="1" applyBorder="1" applyAlignment="1" applyProtection="1">
      <alignment horizontal="left" vertical="center"/>
      <protection hidden="1"/>
    </xf>
    <xf numFmtId="0" fontId="10" fillId="27" borderId="66" xfId="0" applyFont="1" applyFill="1" applyBorder="1" applyAlignment="1">
      <alignment horizontal="center"/>
    </xf>
    <xf numFmtId="0" fontId="10" fillId="27" borderId="68" xfId="0" applyFont="1" applyFill="1" applyBorder="1" applyAlignment="1">
      <alignment horizontal="center"/>
    </xf>
    <xf numFmtId="0" fontId="48" fillId="3" borderId="66" xfId="0" applyFont="1" applyFill="1" applyBorder="1" applyAlignment="1">
      <alignment horizontal="left" vertical="center" wrapText="1"/>
    </xf>
    <xf numFmtId="0" fontId="48" fillId="3" borderId="67" xfId="0" applyFont="1" applyFill="1" applyBorder="1" applyAlignment="1">
      <alignment horizontal="left" vertical="center" wrapText="1"/>
    </xf>
    <xf numFmtId="49" fontId="53" fillId="28" borderId="66" xfId="11" applyNumberFormat="1" applyFont="1" applyFill="1" applyBorder="1" applyAlignment="1">
      <alignment horizontal="center" vertical="center" wrapText="1"/>
    </xf>
    <xf numFmtId="49" fontId="53" fillId="28" borderId="67" xfId="11" applyNumberFormat="1" applyFont="1" applyFill="1" applyBorder="1" applyAlignment="1">
      <alignment horizontal="center" vertical="center" wrapText="1"/>
    </xf>
    <xf numFmtId="49" fontId="53" fillId="28" borderId="68" xfId="11" applyNumberFormat="1" applyFont="1" applyFill="1" applyBorder="1" applyAlignment="1">
      <alignment horizontal="center" vertical="center" wrapText="1"/>
    </xf>
  </cellXfs>
  <cellStyles count="13">
    <cellStyle name="Date" xfId="4" xr:uid="{DE6F852A-CE71-455D-AD94-412479EF036F}"/>
    <cellStyle name="Heading 1 2" xfId="10" xr:uid="{007AB6EB-2EB5-41A0-890E-032FE4F873B6}"/>
    <cellStyle name="Heading 2 2" xfId="9" xr:uid="{61CF8429-C960-4D20-A594-B490EBBEB6D5}"/>
    <cellStyle name="Heading 3 2" xfId="7" xr:uid="{0DE34624-3086-4458-B107-6A40CFCAB1A3}"/>
    <cellStyle name="Hyperlink" xfId="12" builtinId="8"/>
    <cellStyle name="Hyperlink 2" xfId="3" xr:uid="{D66E46A1-8699-4281-8374-A403677FE3FB}"/>
    <cellStyle name="Name" xfId="5" xr:uid="{7767FFED-5B0E-42F1-9364-23C6EF6EC108}"/>
    <cellStyle name="Normal" xfId="0" builtinId="0"/>
    <cellStyle name="Per cent" xfId="1" builtinId="5"/>
    <cellStyle name="Project Start" xfId="8" xr:uid="{FD9D01B6-741D-4918-9E0B-F667233205FF}"/>
    <cellStyle name="Task" xfId="6" xr:uid="{5A40A952-6CD1-419E-95EF-2B9C372206C0}"/>
    <cellStyle name="Title 2" xfId="11" xr:uid="{AEAE5910-974F-498B-B721-6C1915CDBA43}"/>
    <cellStyle name="zHiddenText" xfId="2" xr:uid="{0086EEE6-289C-445C-AB66-34EEC3893872}"/>
  </cellStyles>
  <dxfs count="208">
    <dxf>
      <font>
        <b/>
        <i/>
        <color theme="8" tint="-0.24994659260841701"/>
      </font>
    </dxf>
    <dxf>
      <font>
        <b/>
        <i val="0"/>
        <color theme="0" tint="-4.9989318521683403E-2"/>
      </font>
      <fill>
        <patternFill>
          <bgColor theme="3" tint="0.24994659260841701"/>
        </patternFill>
      </fill>
    </dxf>
    <dxf>
      <font>
        <b/>
        <i val="0"/>
        <color theme="0" tint="-4.9989318521683403E-2"/>
      </font>
      <fill>
        <patternFill>
          <bgColor theme="5" tint="-0.24994659260841701"/>
        </patternFill>
      </fill>
    </dxf>
    <dxf>
      <font>
        <strike/>
        <color theme="0" tint="-0.34998626667073579"/>
      </font>
      <numFmt numFmtId="173" formatCode="dd"/>
    </dxf>
    <dxf>
      <font>
        <strike/>
      </font>
    </dxf>
    <dxf>
      <font>
        <color rgb="FF006100"/>
      </font>
      <fill>
        <patternFill>
          <bgColor rgb="FFC6EFCE"/>
        </patternFill>
      </fill>
    </dxf>
    <dxf>
      <font>
        <strike/>
      </font>
    </dxf>
    <dxf>
      <font>
        <strike/>
      </font>
    </dxf>
    <dxf>
      <font>
        <b/>
        <i val="0"/>
      </font>
      <fill>
        <patternFill>
          <bgColor theme="5" tint="0.79998168889431442"/>
        </patternFill>
      </fill>
      <border>
        <left style="thin">
          <color rgb="FFFF0000"/>
        </left>
        <right style="thin">
          <color rgb="FFFF0000"/>
        </right>
        <top style="thin">
          <color rgb="FFFF0000"/>
        </top>
        <bottom style="thin">
          <color rgb="FFFF0000"/>
        </bottom>
        <vertical/>
        <horizontal/>
      </border>
    </dxf>
    <dxf>
      <font>
        <b/>
        <i val="0"/>
      </font>
      <fill>
        <patternFill>
          <bgColor theme="5" tint="0.79998168889431442"/>
        </patternFill>
      </fill>
      <border>
        <left style="thin">
          <color rgb="FFFF0000"/>
        </left>
        <right style="thin">
          <color rgb="FFFF0000"/>
        </right>
        <top style="thin">
          <color rgb="FFFF0000"/>
        </top>
        <bottom style="thin">
          <color rgb="FFFF0000"/>
        </bottom>
        <vertical/>
        <horizontal/>
      </border>
    </dxf>
    <dxf>
      <font>
        <b val="0"/>
        <i/>
      </font>
      <fill>
        <patternFill>
          <bgColor theme="5" tint="0.79998168889431442"/>
        </patternFill>
      </fill>
      <border>
        <left style="thin">
          <color rgb="FFFF0000"/>
        </left>
        <right style="thin">
          <color rgb="FFFF0000"/>
        </right>
        <top style="thin">
          <color rgb="FFFF0000"/>
        </top>
        <bottom style="thin">
          <color rgb="FFFF0000"/>
        </bottom>
        <vertical/>
        <horizontal/>
      </border>
    </dxf>
    <dxf>
      <font>
        <b val="0"/>
        <i/>
      </font>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ont>
        <color theme="4"/>
      </font>
      <numFmt numFmtId="169" formatCode=";;;"/>
      <fill>
        <patternFill>
          <bgColor theme="0"/>
        </patternFill>
      </fill>
      <border>
        <left style="thin">
          <color theme="3"/>
        </left>
        <right style="thin">
          <color theme="3"/>
        </right>
        <top style="thin">
          <color theme="3"/>
        </top>
        <bottom style="thin">
          <color theme="3"/>
        </bottom>
        <vertical/>
        <horizontal/>
      </border>
    </dxf>
    <dxf>
      <font>
        <color theme="4"/>
      </font>
      <numFmt numFmtId="169" formatCode=";;;"/>
      <fill>
        <patternFill patternType="solid">
          <bgColor theme="0" tint="-0.14996795556505021"/>
        </patternFill>
      </fill>
      <border>
        <left/>
        <right/>
        <top/>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color theme="0" tint="-0.14996795556505021"/>
      </font>
      <fill>
        <patternFill>
          <bgColor theme="0" tint="-0.14996795556505021"/>
        </patternFill>
      </fill>
      <border>
        <left/>
        <right/>
        <top/>
        <bottom/>
        <vertical/>
        <horizontal/>
      </border>
    </dxf>
    <dxf>
      <font>
        <color rgb="FFFF0000"/>
      </font>
      <fill>
        <patternFill>
          <bgColor theme="5" tint="0.79998168889431442"/>
        </patternFill>
      </fill>
      <border>
        <left style="thin">
          <color rgb="FFFF0000"/>
        </left>
        <right style="thin">
          <color rgb="FFFF0000"/>
        </right>
        <top style="thin">
          <color rgb="FFFF0000"/>
        </top>
        <bottom style="thin">
          <color rgb="FFFF0000"/>
        </bottom>
        <vertical/>
        <horizontal/>
      </border>
    </dxf>
    <dxf>
      <font>
        <color rgb="FFFF0000"/>
      </font>
      <fill>
        <patternFill>
          <bgColor theme="5" tint="0.79998168889431442"/>
        </patternFill>
      </fill>
    </dxf>
    <dxf>
      <font>
        <color theme="6"/>
      </font>
      <fill>
        <patternFill>
          <bgColor theme="9" tint="0.79998168889431442"/>
        </patternFill>
      </fill>
    </dxf>
    <dxf>
      <font>
        <color theme="6"/>
      </font>
      <fill>
        <patternFill patternType="none">
          <bgColor auto="1"/>
        </patternFill>
      </fill>
    </dxf>
    <dxf>
      <font>
        <color theme="4"/>
      </font>
      <fill>
        <patternFill>
          <bgColor theme="0"/>
        </patternFill>
      </fill>
      <border>
        <left style="thin">
          <color theme="3"/>
        </left>
        <right style="thin">
          <color theme="3"/>
        </right>
        <top style="thin">
          <color theme="3"/>
        </top>
        <bottom style="thin">
          <color theme="3"/>
        </bottom>
        <vertical/>
        <horizontal/>
      </border>
    </dxf>
    <dxf>
      <font>
        <color rgb="FFFF0000"/>
      </font>
      <fill>
        <patternFill>
          <bgColor theme="5" tint="0.79998168889431442"/>
        </patternFill>
      </fill>
      <border>
        <left style="thin">
          <color theme="3"/>
        </left>
        <right style="thin">
          <color theme="3"/>
        </right>
        <top style="thin">
          <color theme="3"/>
        </top>
        <bottom style="thin">
          <color theme="3"/>
        </bottom>
        <vertical/>
        <horizontal/>
      </border>
    </dxf>
    <dxf>
      <font>
        <color rgb="FFFF0000"/>
      </font>
      <fill>
        <patternFill>
          <bgColor theme="5" tint="0.79998168889431442"/>
        </patternFill>
      </fill>
      <border>
        <left style="thin">
          <color theme="3"/>
        </left>
        <right style="thin">
          <color theme="3"/>
        </right>
        <top style="thin">
          <color theme="3"/>
        </top>
        <bottom style="thin">
          <color theme="3"/>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color theme="4"/>
      </font>
      <numFmt numFmtId="169" formatCode=";;;"/>
      <fill>
        <patternFill>
          <bgColor theme="0"/>
        </patternFill>
      </fill>
      <border>
        <left style="thin">
          <color theme="3"/>
        </left>
        <right style="thin">
          <color theme="3"/>
        </right>
        <top style="thin">
          <color theme="3"/>
        </top>
        <bottom style="thin">
          <color theme="3"/>
        </bottom>
        <vertical/>
        <horizontal/>
      </border>
    </dxf>
    <dxf>
      <font>
        <color theme="4"/>
      </font>
      <numFmt numFmtId="169" formatCode=";;;"/>
      <fill>
        <patternFill patternType="solid">
          <bgColor theme="0" tint="-0.14996795556505021"/>
        </patternFill>
      </fill>
      <border>
        <left/>
        <right/>
        <top/>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color theme="0" tint="-0.14996795556505021"/>
      </font>
      <fill>
        <patternFill>
          <bgColor theme="0" tint="-0.14996795556505021"/>
        </patternFill>
      </fill>
      <border>
        <left/>
        <right/>
        <top/>
        <bottom/>
        <vertical/>
        <horizontal/>
      </border>
    </dxf>
    <dxf>
      <font>
        <color rgb="FFFF0000"/>
      </font>
      <fill>
        <patternFill>
          <bgColor theme="5" tint="0.79998168889431442"/>
        </patternFill>
      </fill>
      <border>
        <left style="thin">
          <color rgb="FFFF0000"/>
        </left>
        <right style="thin">
          <color rgb="FFFF0000"/>
        </right>
        <top style="thin">
          <color rgb="FFFF0000"/>
        </top>
        <bottom style="thin">
          <color rgb="FFFF0000"/>
        </bottom>
        <vertical/>
        <horizontal/>
      </border>
    </dxf>
    <dxf>
      <font>
        <color rgb="FFFFFF00"/>
      </font>
      <border>
        <left style="thin">
          <color rgb="FFFFFF00"/>
        </left>
        <right style="thin">
          <color rgb="FFFFFF00"/>
        </right>
        <top style="thin">
          <color rgb="FFFFFF00"/>
        </top>
        <bottom style="thin">
          <color rgb="FFFFFF0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rgb="FFFF0000"/>
        </patternFill>
      </fill>
      <border>
        <left style="thin">
          <color theme="0"/>
        </left>
        <right style="thin">
          <color theme="0"/>
        </right>
        <top style="thin">
          <color theme="0"/>
        </top>
        <bottom style="thin">
          <color theme="0"/>
        </bottom>
        <vertical/>
        <horizontal/>
      </border>
    </dxf>
    <dxf>
      <font>
        <b/>
        <i val="0"/>
      </font>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0.24994659260841701"/>
        </patternFill>
      </fill>
      <border>
        <left style="thin">
          <color theme="0" tint="-0.34998626667073579"/>
        </left>
        <right style="thin">
          <color theme="0" tint="-0.34998626667073579"/>
        </right>
        <top style="thin">
          <color theme="0" tint="-0.34998626667073579"/>
        </top>
        <bottom style="thin">
          <color theme="0" tint="-0.34998626667073579"/>
        </bottom>
      </border>
    </dxf>
    <dxf>
      <fill>
        <patternFill>
          <bgColor theme="5" tint="0.79998168889431442"/>
        </patternFill>
      </fill>
      <border>
        <left style="thin">
          <color rgb="FFC00000"/>
        </left>
        <right style="thin">
          <color rgb="FFC00000"/>
        </right>
        <vertical/>
        <horizontal/>
      </border>
    </dxf>
    <dxf>
      <fill>
        <patternFill>
          <bgColor theme="3" tint="0.24994659260841701"/>
        </patternFill>
      </fill>
      <border>
        <left style="thin">
          <color theme="0" tint="-0.24994659260841701"/>
        </left>
        <right style="thin">
          <color theme="0" tint="-0.24994659260841701"/>
        </right>
        <top style="thin">
          <color theme="0" tint="-0.24994659260841701"/>
        </top>
        <bottom style="thin">
          <color theme="0" tint="-0.24994659260841701"/>
        </bottom>
      </border>
    </dxf>
    <dxf>
      <font>
        <b/>
        <i val="0"/>
        <color theme="4"/>
      </font>
      <fill>
        <patternFill>
          <bgColor theme="5" tint="0.79998168889431442"/>
        </patternFill>
      </fill>
      <border>
        <left style="thin">
          <color rgb="FFFF0000"/>
        </left>
        <right style="thin">
          <color rgb="FFFF0000"/>
        </right>
        <top style="thin">
          <color rgb="FFFF0000"/>
        </top>
        <bottom style="thin">
          <color rgb="FFFF0000"/>
        </bottom>
        <vertical/>
        <horizontal/>
      </border>
    </dxf>
    <dxf>
      <numFmt numFmtId="19" formatCode="dd/mm/yyyy"/>
      <fill>
        <patternFill patternType="none">
          <bgColor auto="1"/>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numFmt numFmtId="13" formatCode="0%"/>
      <fill>
        <patternFill patternType="none">
          <bgColor auto="1"/>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numFmt numFmtId="0" formatCode="General"/>
      <fill>
        <patternFill patternType="none">
          <bgColor auto="1"/>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numFmt numFmtId="0" formatCode="General"/>
      <fill>
        <patternFill patternType="none">
          <bgColor auto="1"/>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numFmt numFmtId="169" formatCode=";;;"/>
      <fill>
        <patternFill patternType="none">
          <bgColor auto="1"/>
        </patternFill>
      </fill>
      <border>
        <left/>
        <right/>
        <top/>
        <bottom/>
        <vertical/>
        <horizontal/>
      </border>
    </dxf>
    <dxf>
      <numFmt numFmtId="169" formatCode=";;;"/>
      <fill>
        <patternFill patternType="none">
          <bgColor auto="1"/>
        </patternFill>
      </fill>
      <border>
        <left/>
        <right/>
        <top/>
        <bottom/>
        <vertical/>
        <horizontal/>
      </border>
    </dxf>
    <dxf>
      <font>
        <color theme="4"/>
      </font>
      <numFmt numFmtId="169" formatCode=";;;"/>
      <fill>
        <patternFill>
          <bgColor theme="0"/>
        </patternFill>
      </fill>
      <border>
        <left style="thin">
          <color theme="3"/>
        </left>
        <right style="thin">
          <color theme="3"/>
        </right>
        <top style="thin">
          <color theme="3"/>
        </top>
        <bottom style="thin">
          <color theme="3"/>
        </bottom>
        <vertical/>
        <horizontal/>
      </border>
    </dxf>
    <dxf>
      <font>
        <color theme="4"/>
      </font>
      <numFmt numFmtId="169" formatCode=";;;"/>
      <fill>
        <patternFill patternType="solid">
          <bgColor theme="0" tint="-0.14996795556505021"/>
        </patternFill>
      </fill>
      <border>
        <left/>
        <right/>
        <top/>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color rgb="FFFF0000"/>
      </font>
      <fill>
        <patternFill>
          <bgColor theme="5" tint="0.79998168889431442"/>
        </patternFill>
      </fill>
      <border>
        <left style="thin">
          <color rgb="FFFF0000"/>
        </left>
        <right style="thin">
          <color rgb="FFFF0000"/>
        </right>
        <top style="thin">
          <color rgb="FFFF0000"/>
        </top>
        <bottom style="thin">
          <color rgb="FFFF0000"/>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b/>
        <i val="0"/>
        <color rgb="FFFF0000"/>
      </font>
      <fill>
        <patternFill patternType="none">
          <bgColor auto="1"/>
        </patternFill>
      </fill>
    </dxf>
    <dxf>
      <font>
        <b/>
        <i val="0"/>
        <color theme="9" tint="-0.24994659260841701"/>
      </font>
      <fill>
        <patternFill>
          <bgColor theme="9" tint="0.79998168889431442"/>
        </patternFill>
      </fill>
    </dxf>
    <dxf>
      <font>
        <b/>
        <i val="0"/>
        <color theme="9" tint="-0.24994659260841701"/>
      </font>
      <fill>
        <patternFill patternType="none">
          <bgColor auto="1"/>
        </patternFill>
      </fill>
    </dxf>
    <dxf>
      <font>
        <b/>
        <i val="0"/>
        <color rgb="FFFF0000"/>
      </font>
      <numFmt numFmtId="174" formatCode=";;"/>
      <fill>
        <patternFill patternType="solid">
          <bgColor rgb="FFFF0000"/>
        </patternFill>
      </fill>
      <border>
        <left style="thin">
          <color rgb="FFFF0000"/>
        </left>
        <right style="thin">
          <color rgb="FFFF0000"/>
        </right>
        <top style="thin">
          <color rgb="FFFF0000"/>
        </top>
        <bottom style="thin">
          <color rgb="FFFF0000"/>
        </bottom>
      </border>
    </dxf>
    <dxf>
      <font>
        <b/>
        <i val="0"/>
        <color rgb="FFFF0000"/>
      </font>
      <fill>
        <patternFill>
          <bgColor theme="5" tint="0.79998168889431442"/>
        </patternFill>
      </fill>
      <border>
        <left style="thin">
          <color rgb="FFC00000"/>
        </left>
        <right style="thin">
          <color rgb="FFC00000"/>
        </right>
        <top style="thin">
          <color rgb="FFC00000"/>
        </top>
        <bottom style="thin">
          <color rgb="FFC00000"/>
        </bottom>
      </border>
    </dxf>
    <dxf>
      <font>
        <b/>
        <i val="0"/>
        <color theme="0"/>
      </font>
      <fill>
        <patternFill>
          <bgColor rgb="FFFF0000"/>
        </patternFill>
      </fill>
      <border>
        <left style="thin">
          <color rgb="FFC00000"/>
        </left>
        <right style="thin">
          <color rgb="FFC00000"/>
        </right>
        <top style="thin">
          <color rgb="FFC00000"/>
        </top>
        <bottom style="thin">
          <color rgb="FFC00000"/>
        </bottom>
      </border>
    </dxf>
    <dxf>
      <font>
        <b/>
        <i val="0"/>
        <color rgb="FF00B050"/>
      </font>
      <fill>
        <patternFill>
          <bgColor theme="9" tint="0.79998168889431442"/>
        </patternFill>
      </fill>
      <border>
        <left style="thin">
          <color theme="3"/>
        </left>
        <right style="thin">
          <color theme="3"/>
        </right>
        <top style="thin">
          <color theme="3"/>
        </top>
        <bottom style="thin">
          <color theme="3"/>
        </bottom>
        <vertical/>
        <horizontal/>
      </border>
    </dxf>
    <dxf>
      <font>
        <b/>
        <i val="0"/>
        <color theme="9" tint="-0.24994659260841701"/>
      </font>
      <fill>
        <patternFill patternType="solid">
          <bgColor theme="0"/>
        </patternFill>
      </fill>
      <border>
        <left style="thin">
          <color theme="3"/>
        </left>
        <right style="thin">
          <color theme="3"/>
        </right>
        <top style="thin">
          <color theme="3"/>
        </top>
        <bottom style="thin">
          <color theme="3"/>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color theme="4"/>
      </font>
      <numFmt numFmtId="169" formatCode=";;;"/>
      <fill>
        <patternFill patternType="solid">
          <bgColor theme="0" tint="-0.14996795556505021"/>
        </patternFill>
      </fill>
      <border>
        <left/>
        <right/>
        <top/>
        <bottom/>
        <vertical/>
        <horizontal/>
      </border>
    </dxf>
    <dxf>
      <font>
        <color rgb="FFFF0000"/>
      </font>
      <fill>
        <patternFill>
          <bgColor theme="5" tint="0.79998168889431442"/>
        </patternFill>
      </fill>
      <border>
        <left style="thin">
          <color theme="3"/>
        </left>
        <right style="thin">
          <color theme="3"/>
        </right>
        <top style="thin">
          <color theme="3"/>
        </top>
        <bottom style="thin">
          <color theme="3"/>
        </bottom>
        <vertical/>
        <horizontal/>
      </border>
    </dxf>
    <dxf>
      <font>
        <b/>
        <i val="0"/>
        <color rgb="FFFF0000"/>
      </font>
      <fill>
        <patternFill>
          <bgColor theme="5" tint="0.79998168889431442"/>
        </patternFill>
      </fill>
      <border>
        <left style="thin">
          <color rgb="FFC00000"/>
        </left>
        <right style="thin">
          <color rgb="FFC00000"/>
        </right>
        <top style="thin">
          <color rgb="FFC00000"/>
        </top>
        <bottom style="thin">
          <color rgb="FFC00000"/>
        </bottom>
      </border>
    </dxf>
    <dxf>
      <font>
        <color rgb="FFFF0000"/>
      </font>
      <fill>
        <patternFill>
          <bgColor theme="5" tint="0.79998168889431442"/>
        </patternFill>
      </fill>
      <border>
        <left style="thin">
          <color theme="3"/>
        </left>
        <right style="thin">
          <color theme="3"/>
        </right>
        <top style="thin">
          <color theme="3"/>
        </top>
        <bottom style="thin">
          <color theme="3"/>
        </bottom>
        <vertical/>
        <horizontal/>
      </border>
    </dxf>
    <dxf>
      <font>
        <color theme="0" tint="-0.14996795556505021"/>
      </font>
      <fill>
        <patternFill>
          <bgColor theme="0" tint="-0.14996795556505021"/>
        </patternFill>
      </fill>
      <border>
        <left/>
        <right/>
        <top/>
        <bottom/>
        <vertical/>
        <horizontal/>
      </border>
    </dxf>
    <dxf>
      <fill>
        <patternFill>
          <bgColor theme="0" tint="-0.14996795556505021"/>
        </patternFill>
      </fill>
    </dxf>
    <dxf>
      <font>
        <color rgb="FF006100"/>
      </font>
      <fill>
        <patternFill patternType="none">
          <bgColor auto="1"/>
        </patternFill>
      </fill>
    </dxf>
    <dxf>
      <font>
        <color rgb="FF9C0006"/>
      </font>
      <fill>
        <patternFill patternType="none">
          <bgColor auto="1"/>
        </patternFill>
      </fill>
    </dxf>
    <dxf>
      <font>
        <color theme="4"/>
      </font>
      <numFmt numFmtId="169" formatCode=";;;"/>
      <fill>
        <patternFill>
          <bgColor theme="0"/>
        </patternFill>
      </fill>
      <border>
        <left style="thin">
          <color theme="3"/>
        </left>
        <right style="thin">
          <color theme="3"/>
        </right>
        <top style="thin">
          <color theme="3"/>
        </top>
        <bottom style="thin">
          <color theme="3"/>
        </bottom>
        <vertical/>
        <horizontal/>
      </border>
    </dxf>
    <dxf>
      <font>
        <color theme="4"/>
      </font>
      <numFmt numFmtId="169" formatCode=";;;"/>
      <fill>
        <patternFill patternType="solid">
          <bgColor theme="0" tint="-0.14996795556505021"/>
        </patternFill>
      </fill>
      <border>
        <left/>
        <right/>
        <top/>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color theme="1" tint="4.9989318521683403E-2"/>
      </font>
      <fill>
        <patternFill>
          <bgColor theme="0" tint="-0.14996795556505021"/>
        </patternFill>
      </fill>
    </dxf>
    <dxf>
      <fill>
        <patternFill>
          <bgColor theme="0" tint="-0.14996795556505021"/>
        </patternFill>
      </fill>
    </dxf>
    <dxf>
      <font>
        <b/>
        <i val="0"/>
        <color theme="9" tint="-0.24994659260841701"/>
      </font>
      <fill>
        <patternFill patternType="none">
          <bgColor auto="1"/>
        </patternFill>
      </fill>
    </dxf>
    <dxf>
      <font>
        <b/>
        <i val="0"/>
        <color rgb="FFC00000"/>
      </font>
      <fill>
        <patternFill patternType="none">
          <bgColor auto="1"/>
        </patternFill>
      </fill>
    </dxf>
    <dxf>
      <font>
        <b/>
        <i val="0"/>
        <color theme="9" tint="-0.24994659260841701"/>
      </font>
      <fill>
        <patternFill patternType="none">
          <bgColor auto="1"/>
        </patternFill>
      </fill>
    </dxf>
    <dxf>
      <font>
        <b/>
        <i val="0"/>
        <color rgb="FFFFC000"/>
      </font>
      <fill>
        <patternFill patternType="none">
          <bgColor auto="1"/>
        </patternFill>
      </fill>
    </dxf>
    <dxf>
      <font>
        <b/>
        <i val="0"/>
        <color rgb="FFC00000"/>
      </font>
      <fill>
        <patternFill patternType="none">
          <bgColor auto="1"/>
        </patternFill>
      </fill>
    </dxf>
    <dxf>
      <fill>
        <patternFill>
          <bgColor theme="0" tint="-0.14996795556505021"/>
        </patternFill>
      </fill>
    </dxf>
    <dxf>
      <font>
        <b/>
        <i val="0"/>
        <color rgb="FFFF0000"/>
      </font>
      <fill>
        <patternFill>
          <bgColor theme="5" tint="0.79998168889431442"/>
        </patternFill>
      </fill>
      <border>
        <left/>
        <right/>
        <top/>
        <bottom/>
      </border>
    </dxf>
    <dxf>
      <font>
        <b/>
        <i val="0"/>
        <color rgb="FFFF0000"/>
      </font>
      <border>
        <left/>
        <right/>
        <top/>
        <bottom/>
      </border>
    </dxf>
    <dxf>
      <font>
        <b/>
        <i val="0"/>
        <color theme="0"/>
      </font>
      <fill>
        <patternFill>
          <bgColor rgb="FFC00000"/>
        </patternFill>
      </fill>
    </dxf>
    <dxf>
      <font>
        <color theme="4"/>
      </font>
      <fill>
        <patternFill>
          <bgColor theme="0"/>
        </patternFill>
      </fill>
      <border>
        <left style="thin">
          <color theme="3"/>
        </left>
        <right style="thin">
          <color theme="3"/>
        </right>
        <top style="thin">
          <color theme="3"/>
        </top>
        <bottom style="thin">
          <color theme="3"/>
        </bottom>
        <vertical/>
        <horizontal/>
      </border>
    </dxf>
    <dxf>
      <font>
        <color theme="0"/>
      </font>
      <fill>
        <patternFill>
          <bgColor theme="3" tint="0.24994659260841701"/>
        </patternFill>
      </fill>
    </dxf>
    <dxf>
      <fill>
        <patternFill>
          <bgColor theme="5" tint="0.79998168889431442"/>
        </patternFill>
      </fill>
    </dxf>
    <dxf>
      <font>
        <color theme="4"/>
      </font>
      <fill>
        <patternFill>
          <bgColor theme="0"/>
        </patternFill>
      </fill>
      <border>
        <left style="thin">
          <color theme="3"/>
        </left>
        <right style="thin">
          <color theme="3"/>
        </right>
        <top style="thin">
          <color theme="3"/>
        </top>
        <bottom style="thin">
          <color theme="3"/>
        </bottom>
        <vertical/>
        <horizontal/>
      </border>
    </dxf>
    <dxf>
      <font>
        <color theme="4"/>
      </font>
      <fill>
        <patternFill>
          <bgColor theme="0"/>
        </patternFill>
      </fill>
      <border>
        <left style="thin">
          <color theme="3"/>
        </left>
        <right style="thin">
          <color theme="3"/>
        </right>
        <top style="thin">
          <color theme="3"/>
        </top>
        <bottom style="thin">
          <color theme="3"/>
        </bottom>
        <vertical/>
        <horizontal/>
      </border>
    </dxf>
    <dxf>
      <font>
        <b/>
        <i val="0"/>
        <color theme="0"/>
      </font>
      <fill>
        <patternFill>
          <bgColor theme="5" tint="-0.24994659260841701"/>
        </patternFill>
      </fill>
    </dxf>
    <dxf>
      <font>
        <b/>
        <i val="0"/>
        <color theme="0"/>
      </font>
      <fill>
        <patternFill>
          <bgColor theme="3" tint="0.24994659260841701"/>
        </patternFill>
      </fill>
    </dxf>
    <dxf>
      <numFmt numFmtId="171" formatCode="&quot;£&quot;#,##0.00"/>
    </dxf>
    <dxf>
      <numFmt numFmtId="171" formatCode="&quot;£&quot;#,##0.00"/>
    </dxf>
    <dxf>
      <alignment horizontal="center" textRotation="0" wrapText="0" indent="0" justifyLastLine="0" shrinkToFit="0" readingOrder="0"/>
    </dxf>
    <dxf>
      <numFmt numFmtId="0" formatCode="General"/>
      <alignment horizontal="center" textRotation="0" wrapText="0" indent="0" justifyLastLine="0" shrinkToFit="0" readingOrder="0"/>
    </dxf>
    <dxf>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0" formatCode="General"/>
    </dxf>
    <dxf>
      <numFmt numFmtId="30" formatCode="@"/>
    </dxf>
    <dxf>
      <numFmt numFmtId="30" formatCode="@"/>
    </dxf>
    <dxf>
      <font>
        <b/>
        <i val="0"/>
        <strike val="0"/>
        <condense val="0"/>
        <extend val="0"/>
        <outline val="0"/>
        <shadow val="0"/>
        <u val="none"/>
        <vertAlign val="baseline"/>
        <sz val="11"/>
        <color theme="1"/>
        <name val="Aptos Narrow"/>
        <family val="2"/>
        <scheme val="minor"/>
      </font>
    </dxf>
    <dxf>
      <numFmt numFmtId="19" formatCode="dd/mm/yyyy"/>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dxf>
    <dxf>
      <numFmt numFmtId="13" formatCode="0%"/>
    </dxf>
    <dxf>
      <numFmt numFmtId="0" formatCode="General"/>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0" formatCode="General"/>
      <alignment horizontal="lef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theme="0" tint="-0.14999847407452621"/>
        </patternFill>
      </fill>
      <alignment horizontal="center" vertical="bottom" textRotation="0" wrapText="0" indent="0" justifyLastLine="0" shrinkToFit="0" readingOrder="0"/>
    </dxf>
    <dxf>
      <numFmt numFmtId="172" formatCode="&quot;£&quot;#,##0"/>
    </dxf>
    <dxf>
      <numFmt numFmtId="0" formatCode="General"/>
      <border diagonalUp="0" diagonalDown="0">
        <left/>
        <right style="thin">
          <color rgb="FFFF0000"/>
        </right>
        <top/>
        <bottom/>
        <vertical/>
        <horizontal/>
      </border>
    </dxf>
    <dxf>
      <border diagonalUp="0" diagonalDown="0">
        <left/>
        <right style="medium">
          <color rgb="FFFF0000"/>
        </right>
        <top/>
        <bottom/>
        <vertical/>
        <horizontal/>
      </border>
    </dxf>
    <dxf>
      <border diagonalUp="0" diagonalDown="0">
        <left style="medium">
          <color rgb="FFFF0000"/>
        </left>
        <right/>
        <top/>
        <bottom/>
        <vertical/>
        <horizontal/>
      </border>
    </dxf>
    <dxf>
      <numFmt numFmtId="0" formatCode="General"/>
    </dxf>
    <dxf>
      <border diagonalUp="0" diagonalDown="0" outline="0">
        <left/>
        <right/>
        <top style="medium">
          <color theme="0"/>
        </top>
        <bottom style="medium">
          <color theme="0"/>
        </bottom>
      </border>
    </dxf>
    <dxf>
      <numFmt numFmtId="172" formatCode="&quot;£&quot;#,##0"/>
      <border diagonalUp="0" diagonalDown="0" outline="0">
        <left/>
        <right/>
        <top style="medium">
          <color theme="0"/>
        </top>
        <bottom style="medium">
          <color theme="0"/>
        </bottom>
      </border>
    </dxf>
    <dxf>
      <border diagonalUp="0" diagonalDown="0" outline="0">
        <left/>
        <right/>
        <top style="medium">
          <color theme="0"/>
        </top>
        <bottom style="medium">
          <color theme="0"/>
        </bottom>
      </border>
    </dxf>
    <dxf>
      <border>
        <top style="medium">
          <color theme="0"/>
        </top>
      </border>
    </dxf>
    <dxf>
      <border diagonalUp="0" diagonalDown="0">
        <left style="medium">
          <color theme="0"/>
        </left>
        <right style="medium">
          <color theme="0"/>
        </right>
        <top style="medium">
          <color theme="0"/>
        </top>
        <bottom style="medium">
          <color theme="0"/>
        </bottom>
      </border>
    </dxf>
    <dxf>
      <border>
        <bottom style="medium">
          <color theme="0"/>
        </bottom>
      </border>
    </dxf>
    <dxf>
      <border diagonalUp="0" diagonalDown="0">
        <left style="medium">
          <color theme="0"/>
        </left>
        <right style="medium">
          <color theme="0"/>
        </right>
        <top/>
        <bottom/>
        <vertical style="medium">
          <color theme="0"/>
        </vertical>
        <horizontal style="medium">
          <color theme="0"/>
        </horizontal>
      </border>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border outline="0">
        <bottom style="medium">
          <color theme="0"/>
        </bottom>
      </border>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font>
        <strike val="0"/>
        <outline val="0"/>
        <shadow val="0"/>
        <u val="none"/>
        <vertAlign val="baseline"/>
        <sz val="10"/>
        <name val="Aptos Narrow"/>
        <family val="2"/>
        <scheme val="minor"/>
      </font>
      <numFmt numFmtId="164" formatCode="dddd"/>
      <border diagonalUp="0" diagonalDown="0">
        <left style="medium">
          <color theme="0"/>
        </left>
        <right/>
        <top style="medium">
          <color theme="0"/>
        </top>
        <bottom style="medium">
          <color theme="0"/>
        </bottom>
      </border>
      <protection locked="1" hidden="1"/>
    </dxf>
    <dxf>
      <font>
        <strike val="0"/>
        <outline val="0"/>
        <shadow val="0"/>
        <u val="none"/>
        <vertAlign val="baseline"/>
        <sz val="10"/>
        <name val="Aptos Narrow"/>
        <family val="2"/>
        <scheme val="minor"/>
      </font>
      <numFmt numFmtId="19" formatCode="dd/mm/yyyy"/>
      <border diagonalUp="0" diagonalDown="0" outline="0">
        <left style="medium">
          <color theme="0"/>
        </left>
        <right/>
        <top style="medium">
          <color theme="0"/>
        </top>
        <bottom/>
      </border>
    </dxf>
    <dxf>
      <font>
        <strike val="0"/>
        <outline val="0"/>
        <shadow val="0"/>
        <u val="none"/>
        <vertAlign val="baseline"/>
        <sz val="10"/>
        <name val="Aptos Narrow"/>
        <family val="2"/>
        <scheme val="minor"/>
      </font>
      <numFmt numFmtId="19" formatCode="dd/mm/yyyy"/>
      <border diagonalUp="0" diagonalDown="0" outline="0">
        <left style="medium">
          <color theme="0"/>
        </left>
        <right/>
        <top style="medium">
          <color theme="0"/>
        </top>
        <bottom/>
      </border>
    </dxf>
    <dxf>
      <font>
        <strike val="0"/>
        <outline val="0"/>
        <shadow val="0"/>
        <u val="none"/>
        <vertAlign val="baseline"/>
        <sz val="10"/>
        <name val="Aptos Narrow"/>
        <family val="2"/>
        <scheme val="minor"/>
      </font>
      <numFmt numFmtId="19" formatCode="dd/mm/yyyy"/>
      <border diagonalUp="0" diagonalDown="0" outline="0">
        <left style="medium">
          <color theme="0"/>
        </left>
        <right style="medium">
          <color theme="0"/>
        </right>
        <top style="medium">
          <color theme="0"/>
        </top>
        <bottom style="medium">
          <color theme="0"/>
        </bottom>
      </border>
    </dxf>
    <dxf>
      <font>
        <strike val="0"/>
        <outline val="0"/>
        <shadow val="0"/>
        <u val="none"/>
        <vertAlign val="baseline"/>
        <sz val="10"/>
        <name val="Aptos Narrow"/>
        <family val="2"/>
        <scheme val="minor"/>
      </font>
      <border diagonalUp="0" diagonalDown="0" outline="0">
        <left/>
        <right style="medium">
          <color theme="0"/>
        </right>
        <top style="medium">
          <color theme="0"/>
        </top>
        <bottom style="medium">
          <color theme="0"/>
        </bottom>
      </border>
    </dxf>
    <dxf>
      <border>
        <top style="medium">
          <color theme="0"/>
        </top>
      </border>
    </dxf>
    <dxf>
      <border diagonalUp="0" diagonalDown="0">
        <left style="medium">
          <color theme="0"/>
        </left>
        <right style="medium">
          <color theme="0"/>
        </right>
        <top style="medium">
          <color theme="0"/>
        </top>
        <bottom style="medium">
          <color theme="0"/>
        </bottom>
      </border>
    </dxf>
    <dxf>
      <font>
        <strike val="0"/>
        <outline val="0"/>
        <shadow val="0"/>
        <u val="none"/>
        <vertAlign val="baseline"/>
        <sz val="10"/>
        <name val="Aptos Narrow"/>
        <family val="2"/>
        <scheme val="minor"/>
      </font>
    </dxf>
    <dxf>
      <border>
        <bottom style="medium">
          <color theme="0"/>
        </bottom>
      </border>
    </dxf>
    <dxf>
      <border diagonalUp="0" diagonalDown="0">
        <left style="medium">
          <color theme="0"/>
        </left>
        <right style="medium">
          <color theme="0"/>
        </right>
        <top/>
        <bottom/>
        <vertical style="medium">
          <color theme="0"/>
        </vertical>
        <horizontal style="medium">
          <color theme="0"/>
        </horizontal>
      </border>
    </dxf>
    <dxf>
      <font>
        <strike val="0"/>
        <outline val="0"/>
        <shadow val="0"/>
        <u val="none"/>
        <vertAlign val="baseline"/>
        <sz val="10"/>
        <name val="Aptos Narrow"/>
        <family val="2"/>
        <scheme val="minor"/>
      </font>
      <numFmt numFmtId="19" formatCode="dd/mm/yyyy"/>
      <border diagonalUp="0" diagonalDown="0" outline="0">
        <left style="medium">
          <color theme="0"/>
        </left>
        <right/>
        <top style="medium">
          <color theme="0"/>
        </top>
        <bottom style="medium">
          <color theme="0"/>
        </bottom>
      </border>
    </dxf>
    <dxf>
      <font>
        <strike val="0"/>
        <outline val="0"/>
        <shadow val="0"/>
        <u val="none"/>
        <vertAlign val="baseline"/>
        <sz val="10"/>
        <name val="Aptos Narrow"/>
        <family val="2"/>
        <scheme val="minor"/>
      </font>
      <border diagonalUp="0" diagonalDown="0" outline="0">
        <left/>
        <right style="medium">
          <color theme="0"/>
        </right>
        <top style="medium">
          <color theme="0"/>
        </top>
        <bottom style="medium">
          <color theme="0"/>
        </bottom>
      </border>
    </dxf>
    <dxf>
      <border>
        <top style="medium">
          <color theme="0"/>
        </top>
      </border>
    </dxf>
    <dxf>
      <border diagonalUp="0" diagonalDown="0">
        <left style="medium">
          <color theme="0"/>
        </left>
        <right style="medium">
          <color theme="0"/>
        </right>
        <top style="medium">
          <color theme="0"/>
        </top>
        <bottom style="medium">
          <color theme="0"/>
        </bottom>
      </border>
    </dxf>
    <dxf>
      <font>
        <strike val="0"/>
        <outline val="0"/>
        <shadow val="0"/>
        <u val="none"/>
        <vertAlign val="baseline"/>
        <sz val="10"/>
        <name val="Aptos Narrow"/>
        <family val="2"/>
        <scheme val="minor"/>
      </font>
    </dxf>
    <dxf>
      <border>
        <bottom style="medium">
          <color theme="0"/>
        </bottom>
      </border>
    </dxf>
    <dxf>
      <border diagonalUp="0" diagonalDown="0">
        <left style="medium">
          <color theme="0"/>
        </left>
        <right style="medium">
          <color theme="0"/>
        </right>
        <top/>
        <bottom/>
        <vertical style="medium">
          <color theme="0"/>
        </vertical>
        <horizontal style="medium">
          <color theme="0"/>
        </horizontal>
      </border>
    </dxf>
    <dxf>
      <font>
        <strike val="0"/>
        <outline val="0"/>
        <shadow val="0"/>
        <u val="none"/>
        <vertAlign val="baseline"/>
        <sz val="12"/>
      </font>
      <numFmt numFmtId="164" formatCode="dddd"/>
      <fill>
        <patternFill>
          <fgColor indexed="64"/>
          <bgColor theme="0" tint="-0.34998626667073579"/>
        </patternFill>
      </fill>
      <protection locked="1" hidden="1"/>
    </dxf>
    <dxf>
      <font>
        <strike val="0"/>
        <outline val="0"/>
        <shadow val="0"/>
        <u val="none"/>
        <vertAlign val="baseline"/>
        <sz val="12"/>
      </font>
      <fill>
        <patternFill patternType="solid">
          <fgColor indexed="64"/>
          <bgColor theme="3" tint="0.89999084444715716"/>
        </patternFill>
      </fill>
      <alignment horizontal="center" vertical="bottom" textRotation="0" wrapText="0" indent="0" justifyLastLine="0" shrinkToFit="0" readingOrder="0"/>
      <protection locked="1" hidden="1"/>
    </dxf>
    <dxf>
      <font>
        <strike val="0"/>
        <outline val="0"/>
        <shadow val="0"/>
        <u val="none"/>
        <vertAlign val="baseline"/>
        <sz val="12"/>
      </font>
      <alignment horizontal="center" vertical="bottom" textRotation="0" wrapText="0" indent="0" justifyLastLine="0" shrinkToFit="0" readingOrder="0"/>
      <protection locked="1" hidden="1"/>
    </dxf>
    <dxf>
      <font>
        <strike val="0"/>
        <outline val="0"/>
        <shadow val="0"/>
        <u val="none"/>
        <vertAlign val="baseline"/>
        <sz val="12"/>
      </font>
      <protection locked="1" hidden="1"/>
    </dxf>
    <dxf>
      <font>
        <b val="0"/>
        <i val="0"/>
        <strike val="0"/>
        <condense val="0"/>
        <extend val="0"/>
        <outline val="0"/>
        <shadow val="0"/>
        <u val="none"/>
        <vertAlign val="baseline"/>
        <sz val="12"/>
        <color theme="1"/>
        <name val="Aptos Narrow"/>
        <family val="2"/>
        <scheme val="minor"/>
      </font>
      <protection locked="1" hidden="1"/>
    </dxf>
    <dxf>
      <font>
        <strike val="0"/>
        <outline val="0"/>
        <shadow val="0"/>
        <u val="none"/>
        <vertAlign val="baseline"/>
        <sz val="12"/>
      </font>
      <protection locked="1" hidden="1"/>
    </dxf>
    <dxf>
      <font>
        <strike val="0"/>
        <outline val="0"/>
        <shadow val="0"/>
        <u val="none"/>
        <vertAlign val="baseline"/>
        <sz val="12"/>
      </font>
      <alignment horizontal="center" vertical="bottom" textRotation="0" wrapText="0" indent="0" justifyLastLine="0" shrinkToFit="0" readingOrder="0"/>
      <protection locked="1" hidden="1"/>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protection locked="1" hidden="1"/>
    </dxf>
    <dxf>
      <font>
        <strike val="0"/>
        <outline val="0"/>
        <shadow val="0"/>
        <u val="none"/>
        <vertAlign val="baseline"/>
        <sz val="12"/>
      </font>
      <alignment horizontal="center" vertical="bottom" textRotation="0" wrapText="0" indent="0" justifyLastLine="0" shrinkToFit="0" readingOrder="0"/>
      <protection locked="1" hidden="1"/>
    </dxf>
    <dxf>
      <font>
        <strike val="0"/>
        <outline val="0"/>
        <shadow val="0"/>
        <u val="none"/>
        <vertAlign val="baseline"/>
        <sz val="12"/>
      </font>
      <numFmt numFmtId="19" formatCode="dd/mm/yyyy"/>
      <protection locked="1" hidden="1"/>
    </dxf>
    <dxf>
      <font>
        <strike val="0"/>
        <outline val="0"/>
        <shadow val="0"/>
        <u val="none"/>
        <vertAlign val="baseline"/>
        <sz val="12"/>
      </font>
      <numFmt numFmtId="19" formatCode="dd/mm/yyyy"/>
      <fill>
        <patternFill>
          <fgColor indexed="64"/>
          <bgColor theme="0" tint="-0.34998626667073579"/>
        </patternFill>
      </fill>
      <protection locked="1" hidden="1"/>
    </dxf>
    <dxf>
      <font>
        <strike val="0"/>
        <outline val="0"/>
        <shadow val="0"/>
        <u val="none"/>
        <vertAlign val="baseline"/>
        <sz val="12"/>
      </font>
      <protection locked="1" hidden="1"/>
    </dxf>
    <dxf>
      <font>
        <strike val="0"/>
        <outline val="0"/>
        <shadow val="0"/>
        <u val="none"/>
        <vertAlign val="baseline"/>
        <sz val="12"/>
      </font>
      <protection locked="1" hidden="0"/>
    </dxf>
    <dxf>
      <font>
        <strike val="0"/>
        <outline val="0"/>
        <shadow val="0"/>
        <u val="none"/>
        <vertAlign val="baseline"/>
        <sz val="12"/>
      </font>
      <numFmt numFmtId="30" formatCode="@"/>
      <alignment horizontal="right" vertical="bottom" textRotation="0" wrapText="0" indent="0" justifyLastLine="0" shrinkToFit="0" readingOrder="0"/>
      <protection locked="1" hidden="1"/>
    </dxf>
    <dxf>
      <border outline="0">
        <left style="medium">
          <color indexed="64"/>
        </left>
        <right style="medium">
          <color indexed="64"/>
        </right>
        <top style="medium">
          <color indexed="64"/>
        </top>
        <bottom style="thin">
          <color indexed="64"/>
        </bottom>
      </border>
    </dxf>
    <dxf>
      <font>
        <strike val="0"/>
        <outline val="0"/>
        <shadow val="0"/>
        <u val="none"/>
        <vertAlign val="baseline"/>
        <sz val="12"/>
      </font>
      <protection locked="1" hidden="1"/>
    </dxf>
    <dxf>
      <font>
        <b/>
        <i val="0"/>
        <strike val="0"/>
        <condense val="0"/>
        <extend val="0"/>
        <outline val="0"/>
        <shadow val="0"/>
        <u val="none"/>
        <vertAlign val="baseline"/>
        <sz val="14"/>
        <color theme="1"/>
        <name val="Aptos Narrow"/>
        <family val="2"/>
        <scheme val="minor"/>
      </font>
      <fill>
        <patternFill patternType="solid">
          <fgColor indexed="64"/>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2"/>
        <color theme="9"/>
        <name val="Aptos Narrow"/>
        <family val="2"/>
        <scheme val="minor"/>
      </font>
      <numFmt numFmtId="13" formatCode="0%"/>
      <alignment horizontal="left" vertical="bottom" textRotation="0" wrapText="0" indent="0" justifyLastLine="0" shrinkToFit="0" readingOrder="0"/>
    </dxf>
    <dxf>
      <font>
        <b val="0"/>
        <i val="0"/>
        <strike val="0"/>
        <condense val="0"/>
        <extend val="0"/>
        <outline val="0"/>
        <shadow val="0"/>
        <u val="none"/>
        <vertAlign val="baseline"/>
        <sz val="12"/>
        <color theme="9"/>
        <name val="Aptos Narrow"/>
        <family val="2"/>
        <scheme val="minor"/>
      </font>
      <numFmt numFmtId="13" formatCode="0%"/>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b val="0"/>
        <i val="0"/>
        <strike val="0"/>
        <condense val="0"/>
        <extend val="0"/>
        <outline val="0"/>
        <shadow val="0"/>
        <u val="none"/>
        <vertAlign val="baseline"/>
        <sz val="12"/>
        <color auto="1"/>
        <name val="Aptos Narrow"/>
        <family val="2"/>
        <scheme val="minor"/>
      </font>
      <alignment horizontal="center" vertical="center" textRotation="0" wrapText="0" indent="0" justifyLastLine="0" shrinkToFit="0" readingOrder="0"/>
      <border diagonalUp="0" diagonalDown="0">
        <left/>
        <right/>
        <top style="medium">
          <color theme="0" tint="-0.14996795556505021"/>
        </top>
        <bottom style="medium">
          <color theme="0" tint="-0.14996795556505021"/>
        </bottom>
        <vertical/>
        <horizontal/>
      </border>
      <protection locked="1" hidden="1"/>
    </dxf>
    <dxf>
      <font>
        <b val="0"/>
        <i val="0"/>
        <strike val="0"/>
        <condense val="0"/>
        <extend val="0"/>
        <outline val="0"/>
        <shadow val="0"/>
        <u val="none"/>
        <vertAlign val="baseline"/>
        <sz val="12"/>
        <color auto="1"/>
        <name val="Aptos Narrow"/>
        <family val="2"/>
        <scheme val="minor"/>
      </font>
      <numFmt numFmtId="1" formatCode="0"/>
      <alignment horizontal="center" vertical="center" textRotation="0" wrapText="0" indent="0" justifyLastLine="0" shrinkToFit="0" readingOrder="0"/>
      <border diagonalUp="0" diagonalDown="0">
        <left/>
        <right/>
        <top style="medium">
          <color theme="0" tint="-0.14996795556505021"/>
        </top>
        <bottom style="medium">
          <color theme="0" tint="-0.14996795556505021"/>
        </bottom>
        <vertical/>
        <horizontal/>
      </border>
      <protection locked="1" hidden="1"/>
    </dxf>
    <dxf>
      <font>
        <b val="0"/>
        <i val="0"/>
        <strike val="0"/>
        <condense val="0"/>
        <extend val="0"/>
        <outline val="0"/>
        <shadow val="0"/>
        <u val="none"/>
        <vertAlign val="baseline"/>
        <sz val="12"/>
        <color theme="1"/>
        <name val="Aptos Narrow"/>
        <family val="2"/>
        <scheme val="minor"/>
      </font>
      <numFmt numFmtId="19" formatCode="dd/mm/yyyy"/>
      <fill>
        <patternFill patternType="none">
          <fgColor indexed="64"/>
          <bgColor indexed="65"/>
        </patternFill>
      </fill>
      <protection locked="1" hidden="1"/>
    </dxf>
    <dxf>
      <font>
        <b val="0"/>
        <i val="0"/>
        <strike val="0"/>
        <condense val="0"/>
        <extend val="0"/>
        <outline val="0"/>
        <shadow val="0"/>
        <u val="none"/>
        <vertAlign val="baseline"/>
        <sz val="12"/>
        <color theme="1"/>
        <name val="Aptos Narrow"/>
        <family val="2"/>
        <scheme val="minor"/>
      </font>
      <numFmt numFmtId="19" formatCode="dd/mm/yyyy"/>
      <fill>
        <patternFill patternType="none">
          <fgColor indexed="64"/>
          <bgColor indexed="65"/>
        </patternFill>
      </fill>
      <protection locked="1" hidden="1"/>
    </dxf>
    <dxf>
      <font>
        <b val="0"/>
        <i val="0"/>
        <strike val="0"/>
        <condense val="0"/>
        <extend val="0"/>
        <outline val="0"/>
        <shadow val="0"/>
        <u val="none"/>
        <vertAlign val="baseline"/>
        <sz val="12"/>
        <color auto="1"/>
        <name val="Aptos Narrow"/>
        <family val="2"/>
        <scheme val="minor"/>
      </font>
      <fill>
        <patternFill patternType="none">
          <fgColor indexed="64"/>
          <bgColor indexed="65"/>
        </patternFill>
      </fill>
      <alignment horizontal="center" vertical="center" textRotation="0" wrapText="0" indent="0" justifyLastLine="0" shrinkToFit="0" readingOrder="0"/>
      <border diagonalUp="0" diagonalDown="0">
        <left/>
        <right/>
        <top style="medium">
          <color theme="0" tint="-0.14996795556505021"/>
        </top>
        <bottom style="medium">
          <color theme="0" tint="-0.14996795556505021"/>
        </bottom>
        <vertical/>
      </border>
      <protection locked="1" hidden="1"/>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alignment horizontal="left" textRotation="0" indent="0" justifyLastLine="0" shrinkToFit="0" readingOrder="0"/>
      <protection locked="1" hidden="1"/>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protection locked="1" hidden="1"/>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alignment horizontal="left" vertical="center" textRotation="0" wrapText="0" indent="0" justifyLastLine="0" shrinkToFit="0" readingOrder="0"/>
      <protection locked="1" hidden="1"/>
    </dxf>
    <dxf>
      <border diagonalUp="0" diagonalDown="0">
        <left/>
        <top style="thin">
          <color theme="0" tint="-0.34998626667073579"/>
        </top>
        <bottom style="medium">
          <color theme="0" tint="-0.14996795556505021"/>
        </bottom>
      </border>
    </dxf>
    <dxf>
      <protection locked="1" hidden="1"/>
    </dxf>
    <dxf>
      <font>
        <b/>
        <i val="0"/>
        <strike val="0"/>
        <condense val="0"/>
        <extend val="0"/>
        <outline val="0"/>
        <shadow val="0"/>
        <u val="none"/>
        <vertAlign val="baseline"/>
        <sz val="11"/>
        <color theme="0"/>
        <name val="Aptos Narrow"/>
        <family val="2"/>
        <scheme val="minor"/>
      </font>
      <fill>
        <patternFill patternType="solid">
          <fgColor theme="4"/>
          <bgColor theme="1" tint="0.34998626667073579"/>
        </patternFill>
      </fill>
      <alignment horizontal="center" vertical="center" textRotation="0" wrapText="1" indent="0" justifyLastLine="0" shrinkToFit="0" readingOrder="0"/>
      <protection locked="1" hidden="1"/>
    </dxf>
    <dxf>
      <font>
        <b val="0"/>
        <i val="0"/>
        <strike val="0"/>
        <condense val="0"/>
        <extend val="0"/>
        <outline val="0"/>
        <shadow val="0"/>
        <u val="none"/>
        <vertAlign val="baseline"/>
        <sz val="12"/>
        <color theme="1"/>
        <name val="Aptos Narrow"/>
        <family val="2"/>
        <scheme val="minor"/>
      </font>
      <numFmt numFmtId="13" formatCode="0%"/>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ptos Narrow"/>
        <family val="2"/>
        <scheme val="minor"/>
      </font>
      <numFmt numFmtId="13" formatCode="0%"/>
      <alignment horizontal="center" vertical="bottom" textRotation="0" wrapText="0" indent="0" justifyLastLine="0" shrinkToFit="0" readingOrder="0"/>
      <protection locked="1" hidden="1"/>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border diagonalUp="0" diagonalDown="0">
        <left/>
        <right style="thin">
          <color indexed="64"/>
        </right>
        <top/>
        <bottom/>
        <vertical/>
        <horizontal/>
      </border>
      <protection locked="1" hidden="1"/>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protection locked="1" hidden="1"/>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protection locked="1" hidden="1"/>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protection locked="1" hidden="1"/>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protection locked="1" hidden="1"/>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Aptos Narrow"/>
        <family val="2"/>
        <scheme val="minor"/>
      </font>
      <numFmt numFmtId="1" formatCode="0"/>
      <alignment horizontal="center" vertical="bottom" textRotation="0" wrapText="0" indent="0" justifyLastLine="0" shrinkToFit="0" readingOrder="0"/>
      <protection locked="1" hidden="1"/>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numFmt numFmtId="1" formatCode="0"/>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strike val="0"/>
        <outline val="0"/>
        <shadow val="0"/>
        <u val="none"/>
        <vertAlign val="baseline"/>
        <sz val="12"/>
        <color auto="1"/>
        <name val="Aptos Narrow"/>
        <family val="2"/>
        <scheme val="minor"/>
      </font>
      <protection locked="1" hidden="1"/>
    </dxf>
    <dxf>
      <font>
        <b val="0"/>
        <i val="0"/>
        <strike val="0"/>
        <condense val="0"/>
        <extend val="0"/>
        <outline val="0"/>
        <shadow val="0"/>
        <u val="none"/>
        <vertAlign val="baseline"/>
        <sz val="12"/>
        <color theme="1"/>
        <name val="Aptos Narrow"/>
        <family val="2"/>
        <scheme val="minor"/>
      </font>
      <alignment horizontal="center" vertical="bottom" textRotation="0" wrapText="0" indent="0" justifyLastLine="0" shrinkToFit="0" readingOrder="0"/>
    </dxf>
    <dxf>
      <font>
        <b/>
        <strike val="0"/>
        <outline val="0"/>
        <shadow val="0"/>
        <u val="none"/>
        <vertAlign val="baseline"/>
        <sz val="12"/>
        <color auto="1"/>
        <name val="Aptos Narrow"/>
        <family val="2"/>
        <scheme val="minor"/>
      </font>
      <protection locked="1" hidden="1"/>
    </dxf>
    <dxf>
      <font>
        <b val="0"/>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auto="1"/>
        <name val="Aptos Narrow"/>
        <family val="2"/>
        <scheme val="minor"/>
      </font>
      <alignment horizontal="center" vertical="bottom" textRotation="0" wrapText="0" indent="0" justifyLastLine="0" shrinkToFit="0" readingOrder="0"/>
      <protection locked="1" hidden="1"/>
    </dxf>
    <dxf>
      <font>
        <b val="0"/>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auto="1"/>
        <name val="Aptos Narrow"/>
        <family val="2"/>
        <scheme val="minor"/>
      </font>
      <protection locked="1" hidden="1"/>
    </dxf>
    <dxf>
      <font>
        <b val="0"/>
        <i val="0"/>
        <strike val="0"/>
        <condense val="0"/>
        <extend val="0"/>
        <outline val="0"/>
        <shadow val="0"/>
        <u val="none"/>
        <vertAlign val="baseline"/>
        <sz val="12"/>
        <color theme="1"/>
        <name val="Aptos Narrow"/>
        <family val="2"/>
        <scheme val="minor"/>
      </font>
      <alignment horizontal="right" vertical="bottom" textRotation="0" wrapText="0" indent="0" justifyLastLine="0" shrinkToFit="0" readingOrder="0"/>
    </dxf>
    <dxf>
      <font>
        <b/>
        <strike val="0"/>
        <outline val="0"/>
        <shadow val="0"/>
        <u val="none"/>
        <vertAlign val="baseline"/>
        <sz val="12"/>
        <color auto="1"/>
        <name val="Aptos Narrow"/>
        <family val="2"/>
        <scheme val="minor"/>
      </font>
      <protection locked="1" hidden="1"/>
    </dxf>
    <dxf>
      <font>
        <b val="0"/>
        <i val="0"/>
        <strike val="0"/>
        <condense val="0"/>
        <extend val="0"/>
        <outline val="0"/>
        <shadow val="0"/>
        <u val="none"/>
        <vertAlign val="baseline"/>
        <sz val="12"/>
        <color theme="1"/>
        <name val="Aptos Narrow"/>
        <family val="2"/>
        <scheme val="minor"/>
      </font>
      <alignment horizontal="center" vertical="center" textRotation="0" wrapText="0" indent="0" justifyLastLine="0" shrinkToFit="0" readingOrder="0"/>
    </dxf>
    <dxf>
      <font>
        <b/>
        <strike val="0"/>
        <outline val="0"/>
        <shadow val="0"/>
        <u val="none"/>
        <vertAlign val="baseline"/>
        <sz val="12"/>
        <color auto="1"/>
        <name val="Aptos Narrow"/>
        <family val="2"/>
        <scheme val="minor"/>
      </font>
      <protection locked="1" hidden="1"/>
    </dxf>
    <dxf>
      <fill>
        <patternFill patternType="solid">
          <fgColor indexed="64"/>
          <bgColor theme="0" tint="-0.14999847407452621"/>
        </patternFill>
      </fill>
    </dxf>
    <dxf>
      <font>
        <strike val="0"/>
        <outline val="0"/>
        <shadow val="0"/>
        <u val="none"/>
        <vertAlign val="baseline"/>
        <sz val="12"/>
        <name val="Aptos Narrow"/>
        <family val="2"/>
        <scheme val="minor"/>
      </font>
      <protection locked="1" hidden="1"/>
    </dxf>
    <dxf>
      <font>
        <strike val="0"/>
        <outline val="0"/>
        <shadow val="0"/>
        <u val="none"/>
        <vertAlign val="baseline"/>
        <sz val="12"/>
        <name val="Aptos"/>
        <family val="2"/>
        <scheme val="none"/>
      </font>
    </dxf>
  </dxfs>
  <tableStyles count="0" defaultTableStyle="TableStyleMedium2" defaultPivotStyle="PivotStyleLight16"/>
  <colors>
    <mruColors>
      <color rgb="FFFFE389"/>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Data!$D$39</c:f>
              <c:strCache>
                <c:ptCount val="1"/>
                <c:pt idx="0">
                  <c:v>Height</c:v>
                </c:pt>
              </c:strCache>
            </c:strRef>
          </c:tx>
          <c:spPr>
            <a:ln w="28575" cap="rnd">
              <a:noFill/>
              <a:round/>
            </a:ln>
            <a:effectLst/>
          </c:spPr>
          <c:marker>
            <c:symbol val="circle"/>
            <c:size val="5"/>
            <c:spPr>
              <a:noFill/>
              <a:ln w="0">
                <a:noFill/>
              </a:ln>
              <a:effectLst/>
            </c:spPr>
          </c:marker>
          <c:dLbls>
            <c:dLbl>
              <c:idx val="0"/>
              <c:tx>
                <c:rich>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fld id="{AC16BF9B-5156-4004-B8DE-B5EB82F79C1A}" type="CELLRANGE">
                      <a:rPr lang="en-US"/>
                      <a:pPr>
                        <a:defRPr sz="1100" b="1">
                          <a:latin typeface="Aptos" panose="020B0004020202020204" pitchFamily="34" charset="0"/>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endParaRPr lang="en-GB"/>
                </a:p>
              </c:txPr>
              <c:dLblPos val="t"/>
              <c:showLegendKey val="0"/>
              <c:showVal val="0"/>
              <c:showCatName val="0"/>
              <c:showSerName val="0"/>
              <c:showPercent val="0"/>
              <c:showBubbleSize val="0"/>
              <c:extLst>
                <c:ext xmlns:c15="http://schemas.microsoft.com/office/drawing/2012/chart" uri="{CE6537A1-D6FC-4f65-9D91-7224C49458BB}">
                  <c15:layout>
                    <c:manualLayout>
                      <c:w val="9.6771501093825027E-2"/>
                      <c:h val="0.15045720091440182"/>
                    </c:manualLayout>
                  </c15:layout>
                  <c15:dlblFieldTable/>
                  <c15:showDataLabelsRange val="1"/>
                </c:ext>
                <c:ext xmlns:c16="http://schemas.microsoft.com/office/drawing/2014/chart" uri="{C3380CC4-5D6E-409C-BE32-E72D297353CC}">
                  <c16:uniqueId val="{00000000-E3A9-4DCB-BBC4-8AF81F988EC3}"/>
                </c:ext>
              </c:extLst>
            </c:dLbl>
            <c:dLbl>
              <c:idx val="1"/>
              <c:tx>
                <c:rich>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fld id="{D36816AB-AD5D-45E9-AE62-E26E8737FAC1}" type="CELLRANGE">
                      <a:rPr lang="en-US"/>
                      <a:pPr>
                        <a:defRPr sz="1100" b="1">
                          <a:latin typeface="Aptos" panose="020B0004020202020204" pitchFamily="34" charset="0"/>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endParaRPr lang="en-GB"/>
                </a:p>
              </c:txPr>
              <c:dLblPos val="b"/>
              <c:showLegendKey val="0"/>
              <c:showVal val="0"/>
              <c:showCatName val="0"/>
              <c:showSerName val="0"/>
              <c:showPercent val="0"/>
              <c:showBubbleSize val="0"/>
              <c:extLst>
                <c:ext xmlns:c15="http://schemas.microsoft.com/office/drawing/2012/chart" uri="{CE6537A1-D6FC-4f65-9D91-7224C49458BB}">
                  <c15:layout>
                    <c:manualLayout>
                      <c:w val="0.10616650532429814"/>
                      <c:h val="0.15045720091440182"/>
                    </c:manualLayout>
                  </c15:layout>
                  <c15:dlblFieldTable/>
                  <c15:showDataLabelsRange val="1"/>
                </c:ext>
                <c:ext xmlns:c16="http://schemas.microsoft.com/office/drawing/2014/chart" uri="{C3380CC4-5D6E-409C-BE32-E72D297353CC}">
                  <c16:uniqueId val="{00000001-E3A9-4DCB-BBC4-8AF81F988EC3}"/>
                </c:ext>
              </c:extLst>
            </c:dLbl>
            <c:dLbl>
              <c:idx val="2"/>
              <c:tx>
                <c:rich>
                  <a:bodyPr/>
                  <a:lstStyle/>
                  <a:p>
                    <a:fld id="{66DFF178-E6BA-4032-A812-C682CBB598B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3A9-4DCB-BBC4-8AF81F988EC3}"/>
                </c:ext>
              </c:extLst>
            </c:dLbl>
            <c:dLbl>
              <c:idx val="3"/>
              <c:tx>
                <c:rich>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fld id="{09ECE914-F171-4508-8B7D-F444E2C420B0}" type="CELLRANGE">
                      <a:rPr lang="en-US"/>
                      <a:pPr>
                        <a:defRPr sz="1100" b="1">
                          <a:latin typeface="Aptos" panose="020B0004020202020204" pitchFamily="34" charset="0"/>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endParaRPr lang="en-GB"/>
                </a:p>
              </c:txPr>
              <c:dLblPos val="b"/>
              <c:showLegendKey val="0"/>
              <c:showVal val="0"/>
              <c:showCatName val="0"/>
              <c:showSerName val="0"/>
              <c:showPercent val="0"/>
              <c:showBubbleSize val="0"/>
              <c:extLst>
                <c:ext xmlns:c15="http://schemas.microsoft.com/office/drawing/2012/chart" uri="{CE6537A1-D6FC-4f65-9D91-7224C49458BB}">
                  <c15:layout>
                    <c:manualLayout>
                      <c:w val="0.12023233301064858"/>
                      <c:h val="0.13432816865633732"/>
                    </c:manualLayout>
                  </c15:layout>
                  <c15:dlblFieldTable/>
                  <c15:showDataLabelsRange val="1"/>
                </c:ext>
                <c:ext xmlns:c16="http://schemas.microsoft.com/office/drawing/2014/chart" uri="{C3380CC4-5D6E-409C-BE32-E72D297353CC}">
                  <c16:uniqueId val="{00000003-E3A9-4DCB-BBC4-8AF81F988EC3}"/>
                </c:ext>
              </c:extLst>
            </c:dLbl>
            <c:dLbl>
              <c:idx val="4"/>
              <c:tx>
                <c:rich>
                  <a:bodyPr/>
                  <a:lstStyle/>
                  <a:p>
                    <a:fld id="{1FB792E2-7CBF-4799-8ACF-A3E50DDD7E26}"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3A9-4DCB-BBC4-8AF81F988EC3}"/>
                </c:ext>
              </c:extLst>
            </c:dLbl>
            <c:dLbl>
              <c:idx val="5"/>
              <c:tx>
                <c:rich>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fld id="{0F37C95F-B4C8-44CD-A009-35DC7C34800B}" type="CELLRANGE">
                      <a:rPr lang="en-US"/>
                      <a:pPr>
                        <a:defRPr sz="1100" b="1">
                          <a:latin typeface="Aptos" panose="020B0004020202020204" pitchFamily="34" charset="0"/>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endParaRPr lang="en-GB"/>
                </a:p>
              </c:txPr>
              <c:dLblPos val="b"/>
              <c:showLegendKey val="0"/>
              <c:showVal val="0"/>
              <c:showCatName val="0"/>
              <c:showSerName val="0"/>
              <c:showPercent val="0"/>
              <c:showBubbleSize val="0"/>
              <c:extLst>
                <c:ext xmlns:c15="http://schemas.microsoft.com/office/drawing/2012/chart" uri="{CE6537A1-D6FC-4f65-9D91-7224C49458BB}">
                  <c15:layout>
                    <c:manualLayout>
                      <c:w val="0.12821390186826839"/>
                      <c:h val="0.16120988908644482"/>
                    </c:manualLayout>
                  </c15:layout>
                  <c15:dlblFieldTable/>
                  <c15:showDataLabelsRange val="1"/>
                </c:ext>
                <c:ext xmlns:c16="http://schemas.microsoft.com/office/drawing/2014/chart" uri="{C3380CC4-5D6E-409C-BE32-E72D297353CC}">
                  <c16:uniqueId val="{00000005-E3A9-4DCB-BBC4-8AF81F988EC3}"/>
                </c:ext>
              </c:extLst>
            </c:dLbl>
            <c:dLbl>
              <c:idx val="6"/>
              <c:tx>
                <c:rich>
                  <a:bodyPr/>
                  <a:lstStyle/>
                  <a:p>
                    <a:fld id="{B8586E1D-4E64-4F41-AD64-583858AB17A3}"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3A9-4DCB-BBC4-8AF81F988EC3}"/>
                </c:ext>
              </c:extLst>
            </c:dLbl>
            <c:dLbl>
              <c:idx val="7"/>
              <c:tx>
                <c:rich>
                  <a:bodyPr/>
                  <a:lstStyle/>
                  <a:p>
                    <a:fld id="{305D27F3-24B3-4F95-ACD6-460BA6F08408}"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E3A9-4DCB-BBC4-8AF81F988EC3}"/>
                </c:ext>
              </c:extLst>
            </c:dLbl>
            <c:dLbl>
              <c:idx val="8"/>
              <c:tx>
                <c:rich>
                  <a:bodyPr/>
                  <a:lstStyle/>
                  <a:p>
                    <a:fld id="{1B18F70B-BBB3-4098-A983-58402D840D1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3A9-4DCB-BBC4-8AF81F988EC3}"/>
                </c:ext>
              </c:extLst>
            </c:dLbl>
            <c:dLbl>
              <c:idx val="9"/>
              <c:tx>
                <c:rich>
                  <a:bodyPr/>
                  <a:lstStyle/>
                  <a:p>
                    <a:fld id="{86D61280-D08E-4D92-B859-CCF8F103355F}"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E3A9-4DCB-BBC4-8AF81F988EC3}"/>
                </c:ext>
              </c:extLst>
            </c:dLbl>
            <c:dLbl>
              <c:idx val="10"/>
              <c:tx>
                <c:rich>
                  <a:bodyPr/>
                  <a:lstStyle/>
                  <a:p>
                    <a:fld id="{6E027A8A-7B4C-4D8D-B787-662A977CB825}" type="CELLRANGE">
                      <a:rPr lang="en-GB"/>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3A9-4DCB-BBC4-8AF81F988EC3}"/>
                </c:ext>
              </c:extLst>
            </c:dLbl>
            <c:dLbl>
              <c:idx val="11"/>
              <c:tx>
                <c:rich>
                  <a:bodyPr/>
                  <a:lstStyle/>
                  <a:p>
                    <a:endParaRPr lang="en-US"/>
                  </a:p>
                </c:rich>
              </c:tx>
              <c:dLblPos val="b"/>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E3A9-4DCB-BBC4-8AF81F988EC3}"/>
                </c:ext>
              </c:extLst>
            </c:dLbl>
            <c:dLbl>
              <c:idx val="1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E3A9-4DCB-BBC4-8AF81F988EC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ptos" panose="020B0004020202020204" pitchFamily="34" charset="0"/>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25400" cap="flat" cmpd="sng" algn="ctr">
                <a:solidFill>
                  <a:schemeClr val="tx1">
                    <a:lumMod val="65000"/>
                    <a:lumOff val="35000"/>
                  </a:schemeClr>
                </a:solidFill>
                <a:round/>
              </a:ln>
              <a:effectLst/>
            </c:spPr>
          </c:errBars>
          <c:cat>
            <c:multiLvlStrRef>
              <c:f>Data!$B$40:$C$52</c:f>
              <c:multiLvlStrCache>
                <c:ptCount val="13"/>
                <c:lvl>
                  <c:pt idx="0">
                    <c:v>STORY 1.1.0</c:v>
                  </c:pt>
                  <c:pt idx="1">
                    <c:v>STORY 1.2.0</c:v>
                  </c:pt>
                  <c:pt idx="2">
                    <c:v>STORY 1.3.0</c:v>
                  </c:pt>
                  <c:pt idx="3">
                    <c:v>STORY 2.1.0</c:v>
                  </c:pt>
                  <c:pt idx="4">
                    <c:v>STORY 2.2.0</c:v>
                  </c:pt>
                  <c:pt idx="5">
                    <c:v>STORY 2.3.0</c:v>
                  </c:pt>
                  <c:pt idx="6">
                    <c:v>STORY 3.1.0</c:v>
                  </c:pt>
                  <c:pt idx="7">
                    <c:v>STORY 4.1.0</c:v>
                  </c:pt>
                  <c:pt idx="8">
                    <c:v>STORY 4.2.0</c:v>
                  </c:pt>
                  <c:pt idx="9">
                    <c:v>STORY 4.3.0</c:v>
                  </c:pt>
                  <c:pt idx="10">
                    <c:v>STORY 5.1.0</c:v>
                  </c:pt>
                  <c:pt idx="11">
                    <c:v>#N/A</c:v>
                  </c:pt>
                  <c:pt idx="12">
                    <c:v>#N/A</c:v>
                  </c:pt>
                </c:lvl>
                <c:lvl>
                  <c:pt idx="0">
                    <c:v>30/01/2025</c:v>
                  </c:pt>
                  <c:pt idx="1">
                    <c:v>19/02/2025</c:v>
                  </c:pt>
                  <c:pt idx="2">
                    <c:v>07/03/2025</c:v>
                  </c:pt>
                  <c:pt idx="3">
                    <c:v>21/03/2025</c:v>
                  </c:pt>
                  <c:pt idx="4">
                    <c:v>04/04/2025</c:v>
                  </c:pt>
                  <c:pt idx="5">
                    <c:v>11/04/2025</c:v>
                  </c:pt>
                  <c:pt idx="6">
                    <c:v>14/04/2025</c:v>
                  </c:pt>
                  <c:pt idx="7">
                    <c:v>30/04/2025</c:v>
                  </c:pt>
                  <c:pt idx="8">
                    <c:v>23/04/2025</c:v>
                  </c:pt>
                  <c:pt idx="9">
                    <c:v>24/04/2025</c:v>
                  </c:pt>
                  <c:pt idx="10">
                    <c:v>08/05/2025</c:v>
                  </c:pt>
                  <c:pt idx="11">
                    <c:v>#N/A</c:v>
                  </c:pt>
                  <c:pt idx="12">
                    <c:v>#N/A</c:v>
                  </c:pt>
                </c:lvl>
              </c:multiLvlStrCache>
            </c:multiLvlStrRef>
          </c:cat>
          <c:val>
            <c:numRef>
              <c:f>Data!$D$40:$D$52</c:f>
              <c:numCache>
                <c:formatCode>General</c:formatCode>
                <c:ptCount val="13"/>
                <c:pt idx="0">
                  <c:v>1</c:v>
                </c:pt>
                <c:pt idx="1">
                  <c:v>-1</c:v>
                </c:pt>
                <c:pt idx="2">
                  <c:v>1</c:v>
                </c:pt>
                <c:pt idx="3">
                  <c:v>-1</c:v>
                </c:pt>
                <c:pt idx="4">
                  <c:v>1</c:v>
                </c:pt>
                <c:pt idx="5">
                  <c:v>-1</c:v>
                </c:pt>
                <c:pt idx="6">
                  <c:v>1</c:v>
                </c:pt>
                <c:pt idx="7">
                  <c:v>-1</c:v>
                </c:pt>
                <c:pt idx="8">
                  <c:v>1</c:v>
                </c:pt>
                <c:pt idx="9">
                  <c:v>-1</c:v>
                </c:pt>
                <c:pt idx="10">
                  <c:v>1</c:v>
                </c:pt>
                <c:pt idx="11">
                  <c:v>#N/A</c:v>
                </c:pt>
                <c:pt idx="12">
                  <c:v>#N/A</c:v>
                </c:pt>
              </c:numCache>
            </c:numRef>
          </c:val>
          <c:smooth val="0"/>
          <c:extLst>
            <c:ext xmlns:c15="http://schemas.microsoft.com/office/drawing/2012/chart" uri="{02D57815-91ED-43cb-92C2-25804820EDAC}">
              <c15:datalabelsRange>
                <c15:f>Data!$C$40:$C$52</c15:f>
                <c15:dlblRangeCache>
                  <c:ptCount val="13"/>
                  <c:pt idx="0">
                    <c:v>STORY 1.1.0</c:v>
                  </c:pt>
                  <c:pt idx="1">
                    <c:v>STORY 1.2.0</c:v>
                  </c:pt>
                  <c:pt idx="2">
                    <c:v>STORY 1.3.0</c:v>
                  </c:pt>
                  <c:pt idx="3">
                    <c:v>STORY 2.1.0</c:v>
                  </c:pt>
                  <c:pt idx="4">
                    <c:v>STORY 2.2.0</c:v>
                  </c:pt>
                  <c:pt idx="5">
                    <c:v>STORY 2.3.0</c:v>
                  </c:pt>
                  <c:pt idx="6">
                    <c:v>STORY 3.1.0</c:v>
                  </c:pt>
                  <c:pt idx="7">
                    <c:v>STORY 4.1.0</c:v>
                  </c:pt>
                  <c:pt idx="8">
                    <c:v>STORY 4.2.0</c:v>
                  </c:pt>
                  <c:pt idx="9">
                    <c:v>STORY 4.3.0</c:v>
                  </c:pt>
                  <c:pt idx="10">
                    <c:v>STORY 5.1.0</c:v>
                  </c:pt>
                  <c:pt idx="11">
                    <c:v>#N/A</c:v>
                  </c:pt>
                  <c:pt idx="12">
                    <c:v>#N/A</c:v>
                  </c:pt>
                </c15:dlblRangeCache>
              </c15:datalabelsRange>
            </c:ext>
            <c:ext xmlns:c16="http://schemas.microsoft.com/office/drawing/2014/chart" uri="{C3380CC4-5D6E-409C-BE32-E72D297353CC}">
              <c16:uniqueId val="{0000000D-E3A9-4DCB-BBC4-8AF81F988EC3}"/>
            </c:ext>
          </c:extLst>
        </c:ser>
        <c:ser>
          <c:idx val="1"/>
          <c:order val="1"/>
          <c:tx>
            <c:strRef>
              <c:f>Data!$E$39</c:f>
              <c:strCache>
                <c:ptCount val="1"/>
                <c:pt idx="0">
                  <c:v>Axis</c:v>
                </c:pt>
              </c:strCache>
            </c:strRef>
          </c:tx>
          <c:spPr>
            <a:ln w="28575" cap="rnd">
              <a:solidFill>
                <a:schemeClr val="tx1"/>
              </a:solidFill>
              <a:round/>
            </a:ln>
            <a:effectLst/>
          </c:spPr>
          <c:marker>
            <c:symbol val="circle"/>
            <c:size val="5"/>
            <c:spPr>
              <a:noFill/>
              <a:ln w="9525">
                <a:noFill/>
              </a:ln>
              <a:effectLst/>
            </c:spPr>
          </c:marker>
          <c:dLbls>
            <c:dLbl>
              <c:idx val="0"/>
              <c:tx>
                <c:rich>
                  <a:bodyPr/>
                  <a:lstStyle/>
                  <a:p>
                    <a:fld id="{172B01B7-4C6B-42D2-92B5-FB09033678A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E3A9-4DCB-BBC4-8AF81F988EC3}"/>
                </c:ext>
              </c:extLst>
            </c:dLbl>
            <c:dLbl>
              <c:idx val="1"/>
              <c:tx>
                <c:rich>
                  <a:bodyPr/>
                  <a:lstStyle/>
                  <a:p>
                    <a:fld id="{FAE64977-50B0-4ED9-B931-F366DDAC508C}"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E3A9-4DCB-BBC4-8AF81F988EC3}"/>
                </c:ext>
              </c:extLst>
            </c:dLbl>
            <c:dLbl>
              <c:idx val="2"/>
              <c:tx>
                <c:rich>
                  <a:bodyPr/>
                  <a:lstStyle/>
                  <a:p>
                    <a:fld id="{21FFE6ED-4BF0-47BB-AB3A-8C76B936EBB0}"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E3A9-4DCB-BBC4-8AF81F988EC3}"/>
                </c:ext>
              </c:extLst>
            </c:dLbl>
            <c:dLbl>
              <c:idx val="3"/>
              <c:tx>
                <c:rich>
                  <a:bodyPr/>
                  <a:lstStyle/>
                  <a:p>
                    <a:fld id="{1CB8696A-4435-49B7-BF2F-6482B7E6F859}"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E3A9-4DCB-BBC4-8AF81F988EC3}"/>
                </c:ext>
              </c:extLst>
            </c:dLbl>
            <c:dLbl>
              <c:idx val="4"/>
              <c:tx>
                <c:rich>
                  <a:bodyPr/>
                  <a:lstStyle/>
                  <a:p>
                    <a:fld id="{0CA9576C-F102-4D40-9759-CD262A300BA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E3A9-4DCB-BBC4-8AF81F988EC3}"/>
                </c:ext>
              </c:extLst>
            </c:dLbl>
            <c:dLbl>
              <c:idx val="5"/>
              <c:tx>
                <c:rich>
                  <a:bodyPr/>
                  <a:lstStyle/>
                  <a:p>
                    <a:fld id="{A9239316-3039-475A-BD75-41A51F2D4A16}"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E3A9-4DCB-BBC4-8AF81F988EC3}"/>
                </c:ext>
              </c:extLst>
            </c:dLbl>
            <c:dLbl>
              <c:idx val="6"/>
              <c:tx>
                <c:rich>
                  <a:bodyPr/>
                  <a:lstStyle/>
                  <a:p>
                    <a:fld id="{FD43564F-6F50-4BC6-9C6B-37A658A66CC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E3A9-4DCB-BBC4-8AF81F988EC3}"/>
                </c:ext>
              </c:extLst>
            </c:dLbl>
            <c:dLbl>
              <c:idx val="7"/>
              <c:tx>
                <c:rich>
                  <a:bodyPr/>
                  <a:lstStyle/>
                  <a:p>
                    <a:fld id="{85E9C04A-1E47-4204-994F-8C85B623DE24}"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E3A9-4DCB-BBC4-8AF81F988EC3}"/>
                </c:ext>
              </c:extLst>
            </c:dLbl>
            <c:dLbl>
              <c:idx val="8"/>
              <c:tx>
                <c:rich>
                  <a:bodyPr/>
                  <a:lstStyle/>
                  <a:p>
                    <a:fld id="{F69ECA2F-9526-4B5B-ACC1-B5D223002AC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E3A9-4DCB-BBC4-8AF81F988EC3}"/>
                </c:ext>
              </c:extLst>
            </c:dLbl>
            <c:dLbl>
              <c:idx val="9"/>
              <c:tx>
                <c:rich>
                  <a:bodyPr/>
                  <a:lstStyle/>
                  <a:p>
                    <a:fld id="{D5A1FFF3-8370-4557-BF8B-B10E3EA98B39}" type="CELLRANGE">
                      <a:rPr lang="en-US"/>
                      <a:pPr/>
                      <a:t>[CELLRANGE]</a:t>
                    </a:fld>
                    <a:endParaRPr lang="en-GB"/>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E3A9-4DCB-BBC4-8AF81F988EC3}"/>
                </c:ext>
              </c:extLst>
            </c:dLbl>
            <c:dLbl>
              <c:idx val="10"/>
              <c:tx>
                <c:rich>
                  <a:bodyPr/>
                  <a:lstStyle/>
                  <a:p>
                    <a:fld id="{88ABD67F-C638-4D15-8D69-C341BB6F5C2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E3A9-4DCB-BBC4-8AF81F988EC3}"/>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19-E3A9-4DCB-BBC4-8AF81F988EC3}"/>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E3A9-4DCB-BBC4-8AF81F988EC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C00000"/>
                    </a:solidFill>
                    <a:latin typeface="Aptos" panose="020B0004020202020204" pitchFamily="34" charset="0"/>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multiLvlStrRef>
              <c:f>Data!$B$40:$C$52</c:f>
              <c:multiLvlStrCache>
                <c:ptCount val="13"/>
                <c:lvl>
                  <c:pt idx="0">
                    <c:v>STORY 1.1.0</c:v>
                  </c:pt>
                  <c:pt idx="1">
                    <c:v>STORY 1.2.0</c:v>
                  </c:pt>
                  <c:pt idx="2">
                    <c:v>STORY 1.3.0</c:v>
                  </c:pt>
                  <c:pt idx="3">
                    <c:v>STORY 2.1.0</c:v>
                  </c:pt>
                  <c:pt idx="4">
                    <c:v>STORY 2.2.0</c:v>
                  </c:pt>
                  <c:pt idx="5">
                    <c:v>STORY 2.3.0</c:v>
                  </c:pt>
                  <c:pt idx="6">
                    <c:v>STORY 3.1.0</c:v>
                  </c:pt>
                  <c:pt idx="7">
                    <c:v>STORY 4.1.0</c:v>
                  </c:pt>
                  <c:pt idx="8">
                    <c:v>STORY 4.2.0</c:v>
                  </c:pt>
                  <c:pt idx="9">
                    <c:v>STORY 4.3.0</c:v>
                  </c:pt>
                  <c:pt idx="10">
                    <c:v>STORY 5.1.0</c:v>
                  </c:pt>
                  <c:pt idx="11">
                    <c:v>#N/A</c:v>
                  </c:pt>
                  <c:pt idx="12">
                    <c:v>#N/A</c:v>
                  </c:pt>
                </c:lvl>
                <c:lvl>
                  <c:pt idx="0">
                    <c:v>30/01/2025</c:v>
                  </c:pt>
                  <c:pt idx="1">
                    <c:v>19/02/2025</c:v>
                  </c:pt>
                  <c:pt idx="2">
                    <c:v>07/03/2025</c:v>
                  </c:pt>
                  <c:pt idx="3">
                    <c:v>21/03/2025</c:v>
                  </c:pt>
                  <c:pt idx="4">
                    <c:v>04/04/2025</c:v>
                  </c:pt>
                  <c:pt idx="5">
                    <c:v>11/04/2025</c:v>
                  </c:pt>
                  <c:pt idx="6">
                    <c:v>14/04/2025</c:v>
                  </c:pt>
                  <c:pt idx="7">
                    <c:v>30/04/2025</c:v>
                  </c:pt>
                  <c:pt idx="8">
                    <c:v>23/04/2025</c:v>
                  </c:pt>
                  <c:pt idx="9">
                    <c:v>24/04/2025</c:v>
                  </c:pt>
                  <c:pt idx="10">
                    <c:v>08/05/2025</c:v>
                  </c:pt>
                  <c:pt idx="11">
                    <c:v>#N/A</c:v>
                  </c:pt>
                  <c:pt idx="12">
                    <c:v>#N/A</c:v>
                  </c:pt>
                </c:lvl>
              </c:multiLvlStrCache>
            </c:multiLvlStrRef>
          </c:cat>
          <c:val>
            <c:numRef>
              <c:f>Data!$E$40:$E$52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#N/A</c:v>
                </c:pt>
                <c:pt idx="12">
                  <c:v>#N/A</c:v>
                </c:pt>
              </c:numCache>
            </c:numRef>
          </c:val>
          <c:smooth val="0"/>
          <c:extLst>
            <c:ext xmlns:c15="http://schemas.microsoft.com/office/drawing/2012/chart" uri="{02D57815-91ED-43cb-92C2-25804820EDAC}">
              <c15:datalabelsRange>
                <c15:f>Data!$B$40:$B$52</c15:f>
                <c15:dlblRangeCache>
                  <c:ptCount val="13"/>
                  <c:pt idx="0">
                    <c:v>30/01/2025</c:v>
                  </c:pt>
                  <c:pt idx="1">
                    <c:v>19/02/2025</c:v>
                  </c:pt>
                  <c:pt idx="2">
                    <c:v>07/03/2025</c:v>
                  </c:pt>
                  <c:pt idx="3">
                    <c:v>21/03/2025</c:v>
                  </c:pt>
                  <c:pt idx="4">
                    <c:v>04/04/2025</c:v>
                  </c:pt>
                  <c:pt idx="5">
                    <c:v>11/04/2025</c:v>
                  </c:pt>
                  <c:pt idx="6">
                    <c:v>14/04/2025</c:v>
                  </c:pt>
                  <c:pt idx="7">
                    <c:v>30/04/2025</c:v>
                  </c:pt>
                  <c:pt idx="8">
                    <c:v>23/04/2025</c:v>
                  </c:pt>
                  <c:pt idx="9">
                    <c:v>24/04/2025</c:v>
                  </c:pt>
                  <c:pt idx="10">
                    <c:v>08/05/2025</c:v>
                  </c:pt>
                  <c:pt idx="11">
                    <c:v>#N/A</c:v>
                  </c:pt>
                  <c:pt idx="12">
                    <c:v>#N/A</c:v>
                  </c:pt>
                </c15:dlblRangeCache>
              </c15:datalabelsRange>
            </c:ext>
            <c:ext xmlns:c16="http://schemas.microsoft.com/office/drawing/2014/chart" uri="{C3380CC4-5D6E-409C-BE32-E72D297353CC}">
              <c16:uniqueId val="{0000001B-E3A9-4DCB-BBC4-8AF81F988EC3}"/>
            </c:ext>
          </c:extLst>
        </c:ser>
        <c:dLbls>
          <c:showLegendKey val="0"/>
          <c:showVal val="0"/>
          <c:showCatName val="0"/>
          <c:showSerName val="0"/>
          <c:showPercent val="0"/>
          <c:showBubbleSize val="0"/>
        </c:dLbls>
        <c:marker val="1"/>
        <c:smooth val="0"/>
        <c:axId val="630847615"/>
        <c:axId val="630853855"/>
      </c:lineChart>
      <c:catAx>
        <c:axId val="630847615"/>
        <c:scaling>
          <c:orientation val="minMax"/>
        </c:scaling>
        <c:delete val="1"/>
        <c:axPos val="b"/>
        <c:numFmt formatCode="General" sourceLinked="1"/>
        <c:majorTickMark val="none"/>
        <c:minorTickMark val="none"/>
        <c:tickLblPos val="nextTo"/>
        <c:crossAx val="630853855"/>
        <c:crosses val="autoZero"/>
        <c:auto val="1"/>
        <c:lblAlgn val="ctr"/>
        <c:lblOffset val="100"/>
        <c:noMultiLvlLbl val="0"/>
      </c:catAx>
      <c:valAx>
        <c:axId val="630853855"/>
        <c:scaling>
          <c:orientation val="minMax"/>
        </c:scaling>
        <c:delete val="1"/>
        <c:axPos val="l"/>
        <c:numFmt formatCode="General" sourceLinked="1"/>
        <c:majorTickMark val="none"/>
        <c:minorTickMark val="none"/>
        <c:tickLblPos val="nextTo"/>
        <c:crossAx val="63084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7.5909124282550228E-2"/>
          <c:y val="0"/>
          <c:w val="0.78889354457255845"/>
          <c:h val="1"/>
        </c:manualLayout>
      </c:layout>
      <c:doughnutChart>
        <c:varyColors val="1"/>
        <c:ser>
          <c:idx val="0"/>
          <c:order val="0"/>
          <c:tx>
            <c:strRef>
              <c:f>Data!$G$32:$H$32</c:f>
              <c:strCache>
                <c:ptCount val="2"/>
                <c:pt idx="0">
                  <c:v>Done</c:v>
                </c:pt>
                <c:pt idx="1">
                  <c:v>To Do</c:v>
                </c:pt>
              </c:strCache>
            </c:strRef>
          </c:tx>
          <c:dPt>
            <c:idx val="0"/>
            <c:bubble3D val="0"/>
            <c:spPr>
              <a:solidFill>
                <a:schemeClr val="accent1">
                  <a:tint val="77000"/>
                </a:schemeClr>
              </a:solidFill>
              <a:ln>
                <a:noFill/>
              </a:ln>
              <a:effectLst/>
            </c:spPr>
            <c:extLst>
              <c:ext xmlns:c16="http://schemas.microsoft.com/office/drawing/2014/chart" uri="{C3380CC4-5D6E-409C-BE32-E72D297353CC}">
                <c16:uniqueId val="{00000001-7275-491B-987B-05264504F051}"/>
              </c:ext>
            </c:extLst>
          </c:dPt>
          <c:dPt>
            <c:idx val="1"/>
            <c:bubble3D val="0"/>
            <c:spPr>
              <a:solidFill>
                <a:schemeClr val="accent1">
                  <a:shade val="76000"/>
                </a:schemeClr>
              </a:solidFill>
              <a:ln>
                <a:noFill/>
              </a:ln>
              <a:effectLst/>
            </c:spPr>
            <c:extLst>
              <c:ext xmlns:c16="http://schemas.microsoft.com/office/drawing/2014/chart" uri="{C3380CC4-5D6E-409C-BE32-E72D297353CC}">
                <c16:uniqueId val="{00000003-7275-491B-987B-05264504F051}"/>
              </c:ext>
            </c:extLst>
          </c:dPt>
          <c:dLbls>
            <c:dLbl>
              <c:idx val="0"/>
              <c:layout>
                <c:manualLayout>
                  <c:x val="0.13250239415451412"/>
                  <c:y val="-0.2995679921027395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7275-491B-987B-05264504F051}"/>
                </c:ext>
              </c:extLst>
            </c:dLbl>
            <c:dLbl>
              <c:idx val="1"/>
              <c:layout>
                <c:manualLayout>
                  <c:x val="-9.4650233023408345E-2"/>
                  <c:y val="0.2404355032192885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275-491B-987B-05264504F05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Data!$G$32:$H$32</c:f>
              <c:strCache>
                <c:ptCount val="2"/>
                <c:pt idx="0">
                  <c:v>Done</c:v>
                </c:pt>
                <c:pt idx="1">
                  <c:v>To Do</c:v>
                </c:pt>
              </c:strCache>
            </c:strRef>
          </c:cat>
          <c:val>
            <c:numRef>
              <c:f>Data!$G$33:$H$33</c:f>
              <c:numCache>
                <c:formatCode>0%</c:formatCode>
                <c:ptCount val="2"/>
                <c:pt idx="0">
                  <c:v>0.13</c:v>
                </c:pt>
                <c:pt idx="1">
                  <c:v>0.87</c:v>
                </c:pt>
              </c:numCache>
            </c:numRef>
          </c:val>
          <c:extLst>
            <c:ext xmlns:c16="http://schemas.microsoft.com/office/drawing/2014/chart" uri="{C3380CC4-5D6E-409C-BE32-E72D297353CC}">
              <c16:uniqueId val="{00000004-7275-491B-987B-05264504F051}"/>
            </c:ext>
          </c:extLst>
        </c:ser>
        <c:dLbls>
          <c:showLegendKey val="0"/>
          <c:showVal val="0"/>
          <c:showCatName val="0"/>
          <c:showSerName val="0"/>
          <c:showPercent val="0"/>
          <c:showBubbleSize val="0"/>
          <c:showLeaderLines val="0"/>
        </c:dLbls>
        <c:firstSliceAng val="0"/>
        <c:holeSize val="60"/>
      </c:doughnutChart>
      <c:spPr>
        <a:solidFill>
          <a:schemeClr val="lt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emf"/><Relationship Id="rId5" Type="http://schemas.openxmlformats.org/officeDocument/2006/relationships/image" Target="../media/image4.emf"/><Relationship Id="rId4"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72448</xdr:colOff>
          <xdr:row>22</xdr:row>
          <xdr:rowOff>153692</xdr:rowOff>
        </xdr:from>
        <xdr:to>
          <xdr:col>21</xdr:col>
          <xdr:colOff>457587</xdr:colOff>
          <xdr:row>30</xdr:row>
          <xdr:rowOff>39062</xdr:rowOff>
        </xdr:to>
        <xdr:pic>
          <xdr:nvPicPr>
            <xdr:cNvPr id="3" name="Picture 2">
              <a:extLst>
                <a:ext uri="{FF2B5EF4-FFF2-40B4-BE49-F238E27FC236}">
                  <a16:creationId xmlns:a16="http://schemas.microsoft.com/office/drawing/2014/main" id="{B7114C3D-1A17-4F23-87C1-82BABA25034B}"/>
                </a:ext>
              </a:extLst>
            </xdr:cNvPr>
            <xdr:cNvPicPr>
              <a:picLocks noChangeAspect="1" noChangeArrowheads="1"/>
              <a:extLst>
                <a:ext uri="{84589F7E-364E-4C9E-8A38-B11213B215E9}">
                  <a14:cameraTool cellRange="Data!$G$24:$M$30" spid="_x0000_s1404"/>
                </a:ext>
              </a:extLst>
            </xdr:cNvPicPr>
          </xdr:nvPicPr>
          <xdr:blipFill>
            <a:blip xmlns:r="http://schemas.openxmlformats.org/officeDocument/2006/relationships" r:embed="rId1"/>
            <a:srcRect/>
            <a:stretch>
              <a:fillRect/>
            </a:stretch>
          </xdr:blipFill>
          <xdr:spPr bwMode="auto">
            <a:xfrm>
              <a:off x="13574136" y="4749505"/>
              <a:ext cx="2893389" cy="140937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twoCellAnchor>
    <xdr:from>
      <xdr:col>1</xdr:col>
      <xdr:colOff>2</xdr:colOff>
      <xdr:row>19</xdr:row>
      <xdr:rowOff>114298</xdr:rowOff>
    </xdr:from>
    <xdr:to>
      <xdr:col>10</xdr:col>
      <xdr:colOff>257175</xdr:colOff>
      <xdr:row>30</xdr:row>
      <xdr:rowOff>152400</xdr:rowOff>
    </xdr:to>
    <xdr:graphicFrame macro="">
      <xdr:nvGraphicFramePr>
        <xdr:cNvPr id="4" name="Chart 3">
          <a:extLst>
            <a:ext uri="{FF2B5EF4-FFF2-40B4-BE49-F238E27FC236}">
              <a16:creationId xmlns:a16="http://schemas.microsoft.com/office/drawing/2014/main" id="{CFD50962-DB26-4812-AA91-A6505C096C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422458</xdr:colOff>
      <xdr:row>19</xdr:row>
      <xdr:rowOff>149652</xdr:rowOff>
    </xdr:from>
    <xdr:to>
      <xdr:col>14</xdr:col>
      <xdr:colOff>333376</xdr:colOff>
      <xdr:row>30</xdr:row>
      <xdr:rowOff>123825</xdr:rowOff>
    </xdr:to>
    <xdr:graphicFrame macro="">
      <xdr:nvGraphicFramePr>
        <xdr:cNvPr id="6" name="Chart 5">
          <a:extLst>
            <a:ext uri="{FF2B5EF4-FFF2-40B4-BE49-F238E27FC236}">
              <a16:creationId xmlns:a16="http://schemas.microsoft.com/office/drawing/2014/main" id="{096ECBF5-79AF-A9C3-AEB5-EABB591F55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73602</xdr:colOff>
          <xdr:row>31</xdr:row>
          <xdr:rowOff>15298</xdr:rowOff>
        </xdr:from>
        <xdr:to>
          <xdr:col>17</xdr:col>
          <xdr:colOff>643947</xdr:colOff>
          <xdr:row>33</xdr:row>
          <xdr:rowOff>135761</xdr:rowOff>
        </xdr:to>
        <xdr:pic>
          <xdr:nvPicPr>
            <xdr:cNvPr id="2" name="Picture 1">
              <a:extLst>
                <a:ext uri="{FF2B5EF4-FFF2-40B4-BE49-F238E27FC236}">
                  <a16:creationId xmlns:a16="http://schemas.microsoft.com/office/drawing/2014/main" id="{BCEB5C93-E823-12F2-3641-01540089E955}"/>
                </a:ext>
              </a:extLst>
            </xdr:cNvPr>
            <xdr:cNvPicPr>
              <a:picLocks noChangeAspect="1" noChangeArrowheads="1"/>
              <a:extLst>
                <a:ext uri="{84589F7E-364E-4C9E-8A38-B11213B215E9}">
                  <a14:cameraTool cellRange="Data!$G$22:$G$23" spid="_x0000_s1405"/>
                </a:ext>
              </a:extLst>
            </xdr:cNvPicPr>
          </xdr:nvPicPr>
          <xdr:blipFill>
            <a:blip xmlns:r="http://schemas.openxmlformats.org/officeDocument/2006/relationships" r:embed="rId4"/>
            <a:srcRect/>
            <a:stretch>
              <a:fillRect/>
            </a:stretch>
          </xdr:blipFill>
          <xdr:spPr bwMode="auto">
            <a:xfrm>
              <a:off x="13575290" y="6325611"/>
              <a:ext cx="570345" cy="501463"/>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53864</xdr:colOff>
          <xdr:row>2</xdr:row>
          <xdr:rowOff>40698</xdr:rowOff>
        </xdr:from>
        <xdr:to>
          <xdr:col>21</xdr:col>
          <xdr:colOff>458067</xdr:colOff>
          <xdr:row>13</xdr:row>
          <xdr:rowOff>112568</xdr:rowOff>
        </xdr:to>
        <xdr:pic>
          <xdr:nvPicPr>
            <xdr:cNvPr id="5" name="Picture 4">
              <a:extLst>
                <a:ext uri="{FF2B5EF4-FFF2-40B4-BE49-F238E27FC236}">
                  <a16:creationId xmlns:a16="http://schemas.microsoft.com/office/drawing/2014/main" id="{233E33A1-012B-F8E2-A0A4-91CD291D25FC}"/>
                </a:ext>
              </a:extLst>
            </xdr:cNvPr>
            <xdr:cNvPicPr>
              <a:picLocks noChangeAspect="1" noChangeArrowheads="1"/>
              <a:extLst>
                <a:ext uri="{84589F7E-364E-4C9E-8A38-B11213B215E9}">
                  <a14:cameraTool cellRange="Data!$B$26:$E$36" spid="_x0000_s1406"/>
                </a:ext>
              </a:extLst>
            </xdr:cNvPicPr>
          </xdr:nvPicPr>
          <xdr:blipFill>
            <a:blip xmlns:r="http://schemas.openxmlformats.org/officeDocument/2006/relationships" r:embed="rId5"/>
            <a:srcRect/>
            <a:stretch>
              <a:fillRect/>
            </a:stretch>
          </xdr:blipFill>
          <xdr:spPr bwMode="auto">
            <a:xfrm>
              <a:off x="13555552" y="723323"/>
              <a:ext cx="2912453" cy="2175308"/>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sh" refreshedDate="45659.47849872685" createdVersion="8" refreshedVersion="8" minRefreshableVersion="3" recordCount="65" xr:uid="{0F74D601-C626-458D-B5D1-A2C46FC3ADDD}">
  <cacheSource type="worksheet">
    <worksheetSource name="tbl_AssignRole[[Ref]:[E_Cost]]"/>
  </cacheSource>
  <cacheFields count="16">
    <cacheField name="Ref" numFmtId="49">
      <sharedItems containsMixedTypes="1" containsNumber="1" containsInteger="1" minValue="0" maxValue="0"/>
    </cacheField>
    <cacheField name="Desc" numFmtId="0">
      <sharedItems/>
    </cacheField>
    <cacheField name="Done" numFmtId="9">
      <sharedItems containsMixedTypes="1" containsNumber="1" minValue="0" maxValue="1"/>
    </cacheField>
    <cacheField name="Assigned" numFmtId="0">
      <sharedItems/>
    </cacheField>
    <cacheField name="Role" numFmtId="0">
      <sharedItems count="13">
        <s v="Product Owner"/>
        <s v="Business Analyst"/>
        <s v="Server Developer"/>
        <s v="Database Developer"/>
        <s v="Performance Lead"/>
        <s v="Architect"/>
        <s v="UX Designer"/>
        <s v="Tester"/>
        <s v=""/>
        <s v="Technical Lead"/>
        <s v="Frontend Developer"/>
        <s v="DevOps Engineer"/>
        <s v="Un-Assigned Role"/>
      </sharedItems>
    </cacheField>
    <cacheField name="ShortCode" numFmtId="0">
      <sharedItems/>
    </cacheField>
    <cacheField name="AssigRole" numFmtId="0">
      <sharedItems/>
    </cacheField>
    <cacheField name="Actual" numFmtId="0">
      <sharedItems containsMixedTypes="1" containsNumber="1" containsInteger="1" minValue="1" maxValue="10"/>
    </cacheField>
    <cacheField name="Est" numFmtId="0">
      <sharedItems containsMixedTypes="1" containsNumber="1" containsInteger="1" minValue="1" maxValue="10"/>
    </cacheField>
    <cacheField name="Start_date" numFmtId="14">
      <sharedItems containsDate="1" containsMixedTypes="1" minDate="2024-11-18T00:00:00" maxDate="2025-03-13T00:00:00"/>
    </cacheField>
    <cacheField name="End_Date" numFmtId="14">
      <sharedItems containsDate="1" containsMixedTypes="1" minDate="2024-11-25T00:00:00" maxDate="2025-03-19T00:00:00"/>
    </cacheField>
    <cacheField name="Elapse" numFmtId="0">
      <sharedItems containsMixedTypes="1" containsNumber="1" containsInteger="1" minValue="1" maxValue="16"/>
    </cacheField>
    <cacheField name="Hols" numFmtId="0">
      <sharedItems containsMixedTypes="1" containsNumber="1" containsInteger="1" minValue="0" maxValue="3"/>
    </cacheField>
    <cacheField name="Rate" numFmtId="0">
      <sharedItems containsSemiMixedTypes="0" containsString="0" containsNumber="1" containsInteger="1" minValue="0" maxValue="500"/>
    </cacheField>
    <cacheField name="A_Cost" numFmtId="0">
      <sharedItems containsSemiMixedTypes="0" containsString="0" containsNumber="1" containsInteger="1" minValue="0" maxValue="5000"/>
    </cacheField>
    <cacheField name="E_Cost" numFmtId="0">
      <sharedItems containsSemiMixedTypes="0" containsString="0" containsNumber="1" containsInteger="1" minValue="0" maxValue="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s v="1.1.1"/>
    <s v="Analyse and Document Competitor Platforms"/>
    <n v="1"/>
    <s v="Clara Bennett"/>
    <x v="0"/>
    <s v="PROD"/>
    <s v="Clara Bennett-PROD"/>
    <n v="5"/>
    <n v="5"/>
    <d v="2024-11-18T00:00:00"/>
    <d v="2024-11-25T00:00:00"/>
    <n v="8"/>
    <n v="1"/>
    <n v="500"/>
    <n v="2500"/>
    <n v="2500"/>
  </r>
  <r>
    <s v="1.1.2"/>
    <s v="Gather Requirements and Define User Stories"/>
    <n v="1"/>
    <s v="James Whitmore"/>
    <x v="1"/>
    <s v="BANA"/>
    <s v="James Whitmore-BANA"/>
    <n v="5"/>
    <n v="6"/>
    <d v="2024-11-26T00:00:00"/>
    <d v="2024-12-04T00:00:00"/>
    <n v="9"/>
    <n v="3"/>
    <n v="350"/>
    <n v="1750"/>
    <n v="2100"/>
  </r>
  <r>
    <s v="1.1.3"/>
    <s v="Plan of Action: Summarise Findings, High Level Objectives and Goals"/>
    <n v="0.5"/>
    <s v="James Whitmore"/>
    <x v="1"/>
    <s v="BANA"/>
    <s v="James Whitmore-BANA"/>
    <n v="5"/>
    <n v="5"/>
    <d v="2024-12-05T00:00:00"/>
    <d v="2024-12-11T00:00:00"/>
    <n v="7"/>
    <n v="0"/>
    <n v="350"/>
    <n v="1750"/>
    <n v="1750"/>
  </r>
  <r>
    <s v="1.1.4"/>
    <s v="Agree Stakeholder Expectations after Initial Review"/>
    <n v="0.5"/>
    <s v="Clara Bennett"/>
    <x v="0"/>
    <s v="PROD"/>
    <s v="Clara Bennett-PROD"/>
    <n v="3"/>
    <n v="3"/>
    <d v="2024-12-05T00:00:00"/>
    <d v="2024-12-09T00:00:00"/>
    <n v="5"/>
    <n v="0"/>
    <n v="500"/>
    <n v="1500"/>
    <n v="1500"/>
  </r>
  <r>
    <s v="1.1.5"/>
    <s v="Define Objectives and Key Performance Indicators (KPIs,etc.)"/>
    <n v="0.2"/>
    <s v="James Whitmore"/>
    <x v="1"/>
    <s v="BANA"/>
    <s v="James Whitmore-BANA"/>
    <n v="4"/>
    <n v="5"/>
    <d v="2024-12-10T00:00:00"/>
    <d v="2024-12-13T00:00:00"/>
    <n v="4"/>
    <n v="0"/>
    <n v="350"/>
    <n v="1400"/>
    <n v="1750"/>
  </r>
  <r>
    <s v="1.2.1"/>
    <s v="Identify New Functionality and Enhancements"/>
    <n v="0.25"/>
    <s v="James Whitmore"/>
    <x v="1"/>
    <s v="BANA"/>
    <s v="James Whitmore-BANA"/>
    <n v="10"/>
    <n v="10"/>
    <d v="2024-12-16T00:00:00"/>
    <d v="2024-12-31T00:00:00"/>
    <n v="16"/>
    <n v="0"/>
    <n v="350"/>
    <n v="3500"/>
    <n v="3500"/>
  </r>
  <r>
    <s v="1.2.2"/>
    <s v="Identify and Document Non-Functional Requirements"/>
    <n v="0.1"/>
    <s v="Adam Kowalski"/>
    <x v="2"/>
    <s v="SERD"/>
    <s v="Adam Kowalski-SERD"/>
    <n v="10"/>
    <n v="10"/>
    <d v="2024-12-12T00:00:00"/>
    <d v="2024-12-27T00:00:00"/>
    <n v="16"/>
    <n v="0"/>
    <n v="400"/>
    <n v="4000"/>
    <n v="4000"/>
  </r>
  <r>
    <s v="1.2.3"/>
    <s v="User Stories to Functional Mapping and Enhancements"/>
    <n v="0"/>
    <s v="Priya Sharma"/>
    <x v="3"/>
    <s v="DBDE"/>
    <s v="Priya Sharma-DBDE"/>
    <n v="5"/>
    <n v="5"/>
    <d v="2024-12-16T00:00:00"/>
    <d v="2024-12-20T00:00:00"/>
    <n v="5"/>
    <n v="0"/>
    <n v="300"/>
    <n v="1500"/>
    <n v="1500"/>
  </r>
  <r>
    <s v="1.2.4"/>
    <s v="Prioritise Stories and Requirements with Stakeholders"/>
    <n v="0"/>
    <s v="Clara Bennett"/>
    <x v="0"/>
    <s v="PROD"/>
    <s v="Clara Bennett-PROD"/>
    <n v="3"/>
    <n v="3"/>
    <d v="2024-12-23T00:00:00"/>
    <d v="2024-12-27T00:00:00"/>
    <n v="5"/>
    <n v="0"/>
    <n v="500"/>
    <n v="1500"/>
    <n v="1500"/>
  </r>
  <r>
    <s v="1.2.5"/>
    <s v="Publish Documents to Internal Stakeholders and Update"/>
    <n v="0"/>
    <s v="James Whitmore"/>
    <x v="1"/>
    <s v="BANA"/>
    <s v="James Whitmore-BANA"/>
    <n v="2"/>
    <n v="2"/>
    <d v="2024-12-30T00:00:00"/>
    <d v="2024-12-31T00:00:00"/>
    <n v="2"/>
    <n v="0"/>
    <n v="350"/>
    <n v="700"/>
    <n v="700"/>
  </r>
  <r>
    <s v="1.3.1"/>
    <s v="Document and Agree Key Performance Indicators"/>
    <n v="0.9"/>
    <s v="Liam Gardner"/>
    <x v="4"/>
    <s v="PERL"/>
    <s v="Liam Gardner-PERL"/>
    <n v="5"/>
    <n v="5"/>
    <d v="2024-12-23T00:00:00"/>
    <d v="2024-12-31T00:00:00"/>
    <n v="9"/>
    <n v="0"/>
    <n v="400"/>
    <n v="2000"/>
    <n v="2000"/>
  </r>
  <r>
    <s v="1.3.2"/>
    <s v="Create Workflow Diagrams and a Product Plan"/>
    <n v="0"/>
    <s v="Clara Bennett"/>
    <x v="0"/>
    <s v="PROD"/>
    <s v="Clara Bennett-PROD"/>
    <n v="5"/>
    <n v="5"/>
    <d v="2024-12-30T00:00:00"/>
    <d v="2025-01-06T00:00:00"/>
    <n v="8"/>
    <n v="0"/>
    <n v="500"/>
    <n v="2500"/>
    <n v="2500"/>
  </r>
  <r>
    <s v="1.3.3"/>
    <s v="Develop High-Level Technical Specifications"/>
    <n v="0"/>
    <s v="Evelyn Hart"/>
    <x v="5"/>
    <s v="ARCH"/>
    <s v="Evelyn Hart-ARCH"/>
    <n v="5"/>
    <n v="5"/>
    <d v="2025-01-02T00:00:00"/>
    <d v="2025-01-09T00:00:00"/>
    <n v="8"/>
    <n v="1"/>
    <n v="350"/>
    <n v="1750"/>
    <n v="1750"/>
  </r>
  <r>
    <s v="1.3.4"/>
    <s v="Review and Agree Designs with Lead Stakeholders"/>
    <n v="0"/>
    <s v="Clara Bennett"/>
    <x v="0"/>
    <s v="PROD"/>
    <s v="Clara Bennett-PROD"/>
    <n v="5"/>
    <n v="5"/>
    <d v="2025-01-10T00:00:00"/>
    <d v="2025-01-17T00:00:00"/>
    <n v="8"/>
    <n v="1"/>
    <n v="500"/>
    <n v="2500"/>
    <n v="2500"/>
  </r>
  <r>
    <s v="1.3.5"/>
    <s v="Start GUI and Server Component Development, and API Implementation"/>
    <n v="0"/>
    <s v="Evelyn Hart"/>
    <x v="5"/>
    <s v="ARCH"/>
    <s v="Evelyn Hart-ARCH"/>
    <n v="1"/>
    <n v="1"/>
    <d v="2025-01-20T00:00:00"/>
    <d v="2025-01-20T00:00:00"/>
    <n v="1"/>
    <n v="0"/>
    <n v="350"/>
    <n v="350"/>
    <n v="350"/>
  </r>
  <r>
    <s v="2.1.1"/>
    <s v="Create Wireframes and Mockups. Identify Default Values Required for Trading."/>
    <n v="0"/>
    <s v="Chloe Martin"/>
    <x v="6"/>
    <s v="UXDE"/>
    <s v="Chloe Martin-UXDE"/>
    <n v="10"/>
    <n v="10"/>
    <d v="2025-01-21T00:00:00"/>
    <d v="2025-02-03T00:00:00"/>
    <n v="14"/>
    <n v="0"/>
    <n v="250"/>
    <n v="2500"/>
    <n v="2500"/>
  </r>
  <r>
    <s v="2.1.2"/>
    <s v="Identify User Data Flow for Optimal User Experience"/>
    <n v="0"/>
    <s v="James Whitmore"/>
    <x v="1"/>
    <s v="BANA"/>
    <s v="James Whitmore-BANA"/>
    <n v="10"/>
    <n v="10"/>
    <d v="2025-01-21T00:00:00"/>
    <d v="2025-02-03T00:00:00"/>
    <n v="14"/>
    <n v="0"/>
    <n v="350"/>
    <n v="3500"/>
    <n v="3500"/>
  </r>
  <r>
    <s v="2.1.3"/>
    <s v="Develop a Test Plan: Usability, Configuration, etc."/>
    <n v="0"/>
    <s v="Ryan Carter"/>
    <x v="7"/>
    <s v="TEST"/>
    <s v="Ryan Carter-TEST"/>
    <n v="10"/>
    <n v="10"/>
    <d v="2025-01-21T00:00:00"/>
    <d v="2025-02-03T00:00:00"/>
    <n v="14"/>
    <n v="0"/>
    <n v="250"/>
    <n v="2500"/>
    <n v="2500"/>
  </r>
  <r>
    <s v="2.1.4"/>
    <s v="Create a Roadmap and Agree on the Plan"/>
    <n v="0"/>
    <s v="Clara Bennett"/>
    <x v="0"/>
    <s v="PROD"/>
    <s v="Clara Bennett-PROD"/>
    <n v="10"/>
    <n v="10"/>
    <d v="2025-01-21T00:00:00"/>
    <d v="2025-02-03T00:00:00"/>
    <n v="14"/>
    <n v="0"/>
    <n v="500"/>
    <n v="5000"/>
    <n v="5000"/>
  </r>
  <r>
    <n v="0"/>
    <s v=""/>
    <s v="N/A"/>
    <s v=""/>
    <x v="8"/>
    <s v=""/>
    <s v="-"/>
    <s v=""/>
    <s v=""/>
    <s v=""/>
    <s v=""/>
    <s v=""/>
    <s v=""/>
    <n v="0"/>
    <n v="0"/>
    <n v="0"/>
  </r>
  <r>
    <s v="2.2.1"/>
    <s v="Design and Set Up the Database"/>
    <n v="0"/>
    <s v="Priya Sharma"/>
    <x v="3"/>
    <s v="DBDE"/>
    <s v="Priya Sharma-DBDE"/>
    <n v="10"/>
    <n v="10"/>
    <d v="2025-02-04T00:00:00"/>
    <d v="2025-02-17T00:00:00"/>
    <n v="14"/>
    <n v="0"/>
    <n v="300"/>
    <n v="3000"/>
    <n v="3000"/>
  </r>
  <r>
    <s v="2.2.2"/>
    <s v="Develop Endpoints for the API"/>
    <n v="0"/>
    <s v="Max Patel"/>
    <x v="2"/>
    <s v="SERD"/>
    <s v="Max Patel-SERD"/>
    <n v="10"/>
    <n v="10"/>
    <d v="2025-02-04T00:00:00"/>
    <d v="2025-02-17T00:00:00"/>
    <n v="14"/>
    <n v="0"/>
    <n v="450"/>
    <n v="4500"/>
    <n v="4500"/>
  </r>
  <r>
    <s v="2.2.3"/>
    <s v="Develop Core Business Logic Services for the App"/>
    <n v="0"/>
    <s v="Adam Kowalski"/>
    <x v="2"/>
    <s v="SERD"/>
    <s v="Adam Kowalski-SERD"/>
    <n v="10"/>
    <n v="10"/>
    <d v="2025-02-06T00:00:00"/>
    <d v="2025-02-19T00:00:00"/>
    <n v="14"/>
    <n v="0"/>
    <n v="400"/>
    <n v="4000"/>
    <n v="4000"/>
  </r>
  <r>
    <s v="2.2.4"/>
    <s v="Integrate with Market Data (Internal, External, etc.)"/>
    <n v="0"/>
    <s v="Evelyn Hart"/>
    <x v="5"/>
    <s v="ARCH"/>
    <s v="Evelyn Hart-ARCH"/>
    <n v="10"/>
    <n v="10"/>
    <d v="2025-02-04T00:00:00"/>
    <d v="2025-02-17T00:00:00"/>
    <n v="14"/>
    <n v="0"/>
    <n v="350"/>
    <n v="3500"/>
    <n v="3500"/>
  </r>
  <r>
    <s v="2.2.5"/>
    <s v="Document server dataflows and publish"/>
    <n v="0"/>
    <s v="Clara Bennett"/>
    <x v="0"/>
    <s v="PROD"/>
    <s v="Clara Bennett-PROD"/>
    <n v="10"/>
    <n v="10"/>
    <d v="2025-02-04T00:00:00"/>
    <d v="2025-02-17T00:00:00"/>
    <n v="14"/>
    <n v="0"/>
    <n v="500"/>
    <n v="5000"/>
    <n v="5000"/>
  </r>
  <r>
    <s v="2.3.1"/>
    <s v="Plan and Document Tests for the Backend Server"/>
    <n v="0"/>
    <s v="Adam Kowalski"/>
    <x v="2"/>
    <s v="SERD"/>
    <s v="Adam Kowalski-SERD"/>
    <n v="5"/>
    <n v="5"/>
    <d v="2025-02-18T00:00:00"/>
    <d v="2025-02-24T00:00:00"/>
    <n v="7"/>
    <n v="0"/>
    <n v="400"/>
    <n v="2000"/>
    <n v="2000"/>
  </r>
  <r>
    <s v="2.3.2"/>
    <s v="Document Unit Tests for Electronic Messaging"/>
    <n v="0"/>
    <s v="Hannah Fletcher"/>
    <x v="9"/>
    <s v="TECL"/>
    <s v="Hannah Fletcher-TECL"/>
    <n v="5"/>
    <n v="5"/>
    <d v="2025-02-18T00:00:00"/>
    <d v="2025-02-24T00:00:00"/>
    <n v="7"/>
    <n v="0"/>
    <n v="250"/>
    <n v="1250"/>
    <n v="1250"/>
  </r>
  <r>
    <s v="2.3.3"/>
    <s v="Document Unit Tests for the Frontend"/>
    <n v="0"/>
    <s v="Evelyn Hart"/>
    <x v="5"/>
    <s v="ARCH"/>
    <s v="Evelyn Hart-ARCH"/>
    <n v="5"/>
    <n v="5"/>
    <d v="2025-02-18T00:00:00"/>
    <d v="2025-02-24T00:00:00"/>
    <n v="7"/>
    <n v="0"/>
    <n v="350"/>
    <n v="1750"/>
    <n v="1750"/>
  </r>
  <r>
    <s v="2.3.4"/>
    <s v="Document Tests for All Data Requirements"/>
    <n v="0"/>
    <s v="Priya Sharma"/>
    <x v="3"/>
    <s v="DBDE"/>
    <s v="Priya Sharma-DBDE"/>
    <n v="5"/>
    <n v="5"/>
    <d v="2025-02-18T00:00:00"/>
    <d v="2025-02-24T00:00:00"/>
    <n v="7"/>
    <n v="0"/>
    <n v="300"/>
    <n v="1500"/>
    <n v="1500"/>
  </r>
  <r>
    <s v="2.3.5"/>
    <s v="Document Performance and Usability Metrics"/>
    <n v="0"/>
    <s v="Liam Gardner"/>
    <x v="4"/>
    <s v="PERL"/>
    <s v="Liam Gardner-PERL"/>
    <n v="5"/>
    <n v="5"/>
    <d v="2025-02-18T00:00:00"/>
    <d v="2025-02-24T00:00:00"/>
    <n v="7"/>
    <n v="0"/>
    <n v="400"/>
    <n v="2000"/>
    <n v="2000"/>
  </r>
  <r>
    <s v="3.1.1"/>
    <s v="Develop/Update the Test Plan"/>
    <n v="0"/>
    <s v="Hannah Fletcher"/>
    <x v="9"/>
    <s v="TECL"/>
    <s v="Hannah Fletcher-TECL"/>
    <n v="1"/>
    <n v="1"/>
    <d v="2025-02-25T00:00:00"/>
    <d v="2025-02-25T00:00:00"/>
    <n v="1"/>
    <n v="0"/>
    <n v="250"/>
    <n v="250"/>
    <n v="250"/>
  </r>
  <r>
    <s v="3.1.2"/>
    <s v="Execute Tests"/>
    <n v="0"/>
    <s v="Alex Parker"/>
    <x v="7"/>
    <s v="TEST"/>
    <s v="Alex Parker-TEST"/>
    <n v="1"/>
    <n v="1"/>
    <d v="2025-02-25T00:00:00"/>
    <d v="2025-02-25T00:00:00"/>
    <n v="1"/>
    <n v="0"/>
    <n v="200"/>
    <n v="200"/>
    <n v="200"/>
  </r>
  <r>
    <s v="3.1.3"/>
    <s v="Log Bugs and Update Documents"/>
    <n v="0"/>
    <s v="Hannah Fletcher"/>
    <x v="9"/>
    <s v="TECL"/>
    <s v="Hannah Fletcher-TECL"/>
    <n v="1"/>
    <n v="1"/>
    <d v="2025-02-25T00:00:00"/>
    <d v="2025-02-25T00:00:00"/>
    <n v="1"/>
    <n v="0"/>
    <n v="250"/>
    <n v="250"/>
    <n v="250"/>
  </r>
  <r>
    <s v="3.1.4"/>
    <s v="Conduct System Reliability and Performance Testing"/>
    <n v="0"/>
    <s v="Liam Gardner"/>
    <x v="4"/>
    <s v="PERL"/>
    <s v="Liam Gardner-PERL"/>
    <n v="1"/>
    <n v="1"/>
    <d v="2025-02-25T00:00:00"/>
    <d v="2025-02-25T00:00:00"/>
    <n v="1"/>
    <n v="0"/>
    <n v="400"/>
    <n v="400"/>
    <n v="400"/>
  </r>
  <r>
    <s v="3.1.5"/>
    <s v="Obtain Product Management and Senior Stakeholder Sign-Off"/>
    <n v="0"/>
    <s v="Clara Bennett"/>
    <x v="0"/>
    <s v="PROD"/>
    <s v="Clara Bennett-PROD"/>
    <n v="1"/>
    <n v="1"/>
    <d v="2025-02-25T00:00:00"/>
    <d v="2025-02-25T00:00:00"/>
    <n v="1"/>
    <n v="0"/>
    <n v="500"/>
    <n v="500"/>
    <n v="500"/>
  </r>
  <r>
    <s v="4.1.1"/>
    <s v="Server Components"/>
    <n v="0"/>
    <s v="Max Patel"/>
    <x v="2"/>
    <s v="SERD"/>
    <s v="Max Patel-SERD"/>
    <n v="10"/>
    <n v="10"/>
    <d v="2025-02-25T00:00:00"/>
    <d v="2025-03-10T00:00:00"/>
    <n v="14"/>
    <n v="0"/>
    <n v="450"/>
    <n v="4500"/>
    <n v="4500"/>
  </r>
  <r>
    <s v="4.1.2"/>
    <s v="Frontend"/>
    <n v="0"/>
    <s v="Olivia Brooks"/>
    <x v="10"/>
    <s v="FROD"/>
    <s v="Olivia Brooks-FROD"/>
    <n v="5"/>
    <n v="5"/>
    <d v="2025-02-25T00:00:00"/>
    <d v="2025-03-03T00:00:00"/>
    <n v="7"/>
    <n v="0"/>
    <n v="350"/>
    <n v="1750"/>
    <n v="1750"/>
  </r>
  <r>
    <s v="4.1.3"/>
    <s v="Database"/>
    <n v="0"/>
    <s v="Priya Sharma"/>
    <x v="3"/>
    <s v="DBDE"/>
    <s v="Priya Sharma-DBDE"/>
    <n v="10"/>
    <n v="10"/>
    <d v="2025-02-25T00:00:00"/>
    <d v="2025-03-10T00:00:00"/>
    <n v="14"/>
    <n v="0"/>
    <n v="300"/>
    <n v="3000"/>
    <n v="3000"/>
  </r>
  <r>
    <s v="4.1.4"/>
    <s v="Testing"/>
    <n v="0"/>
    <s v="Ryan Carter"/>
    <x v="7"/>
    <s v="TEST"/>
    <s v="Ryan Carter-TEST"/>
    <n v="10"/>
    <n v="10"/>
    <d v="2025-02-26T00:00:00"/>
    <d v="2025-03-11T00:00:00"/>
    <n v="14"/>
    <n v="0"/>
    <n v="250"/>
    <n v="2500"/>
    <n v="2500"/>
  </r>
  <r>
    <s v="4.1.5"/>
    <s v="Frontend Two"/>
    <s v="N/A"/>
    <s v=""/>
    <x v="8"/>
    <s v=""/>
    <s v="-"/>
    <n v="5"/>
    <n v="5"/>
    <d v="2025-02-25T00:00:00"/>
    <d v="2025-02-25T00:00:00"/>
    <n v="1"/>
    <n v="0"/>
    <n v="0"/>
    <n v="0"/>
    <n v="0"/>
  </r>
  <r>
    <s v="4.2.1"/>
    <s v="Full UAT deployment"/>
    <n v="0"/>
    <s v="Connor Reed"/>
    <x v="11"/>
    <s v="DEVO"/>
    <s v="Connor Reed-DEVO"/>
    <n v="5"/>
    <n v="5"/>
    <d v="2025-02-26T00:00:00"/>
    <d v="2025-03-04T00:00:00"/>
    <n v="7"/>
    <n v="0"/>
    <n v="300"/>
    <n v="1500"/>
    <n v="1500"/>
  </r>
  <r>
    <s v="4.2.2"/>
    <s v="UAT Sever "/>
    <n v="0"/>
    <s v="Max Patel"/>
    <x v="2"/>
    <s v="SERD"/>
    <s v="Max Patel-SERD"/>
    <n v="3"/>
    <n v="3"/>
    <d v="2025-02-26T00:00:00"/>
    <d v="2025-02-28T00:00:00"/>
    <n v="3"/>
    <n v="0"/>
    <n v="450"/>
    <n v="1350"/>
    <n v="1350"/>
  </r>
  <r>
    <s v="4.2.3"/>
    <s v="UAT Frontend"/>
    <n v="0"/>
    <s v="Hannah Fletcher"/>
    <x v="9"/>
    <s v="TECL"/>
    <s v="Hannah Fletcher-TECL"/>
    <n v="3"/>
    <n v="3"/>
    <d v="2025-02-26T00:00:00"/>
    <d v="2025-02-28T00:00:00"/>
    <n v="3"/>
    <n v="0"/>
    <n v="250"/>
    <n v="750"/>
    <n v="750"/>
  </r>
  <r>
    <s v="4.2.4"/>
    <s v="UAT Data"/>
    <n v="0"/>
    <s v="Priya Sharma"/>
    <x v="3"/>
    <s v="DBDE"/>
    <s v="Priya Sharma-DBDE"/>
    <n v="3"/>
    <n v="3"/>
    <d v="2025-02-26T00:00:00"/>
    <d v="2025-02-28T00:00:00"/>
    <n v="3"/>
    <n v="0"/>
    <n v="300"/>
    <n v="900"/>
    <n v="900"/>
  </r>
  <r>
    <s v="4.2.5"/>
    <s v="UAT Performance"/>
    <n v="0"/>
    <s v="Liam Gardner"/>
    <x v="4"/>
    <s v="PERL"/>
    <s v="Liam Gardner-PERL"/>
    <n v="3"/>
    <n v="3"/>
    <d v="2025-02-26T00:00:00"/>
    <d v="2025-02-28T00:00:00"/>
    <n v="3"/>
    <n v="0"/>
    <n v="400"/>
    <n v="1200"/>
    <n v="1200"/>
  </r>
  <r>
    <s v="4.3.1"/>
    <s v="Full PRE-PROD deployment"/>
    <n v="0"/>
    <s v="Connor Reed"/>
    <x v="11"/>
    <s v="DEVO"/>
    <s v="Connor Reed-DEVO"/>
    <n v="3"/>
    <n v="3"/>
    <d v="2025-03-03T00:00:00"/>
    <d v="2025-03-05T00:00:00"/>
    <n v="3"/>
    <n v="0"/>
    <n v="300"/>
    <n v="900"/>
    <n v="900"/>
  </r>
  <r>
    <s v="4.3.2"/>
    <s v=" PRE-PROD  Sever "/>
    <n v="0"/>
    <s v="Max Patel"/>
    <x v="2"/>
    <s v="SERD"/>
    <s v="Max Patel-SERD"/>
    <n v="1"/>
    <n v="1"/>
    <d v="2025-03-03T00:00:00"/>
    <d v="2025-03-03T00:00:00"/>
    <n v="1"/>
    <n v="0"/>
    <n v="450"/>
    <n v="450"/>
    <n v="450"/>
  </r>
  <r>
    <s v="4.3.3"/>
    <s v=" PRE-PROD  Frontend"/>
    <n v="0"/>
    <s v="Hannah Fletcher"/>
    <x v="9"/>
    <s v="TECL"/>
    <s v="Hannah Fletcher-TECL"/>
    <n v="1"/>
    <n v="1"/>
    <d v="2025-03-03T00:00:00"/>
    <d v="2025-03-03T00:00:00"/>
    <n v="1"/>
    <n v="0"/>
    <n v="250"/>
    <n v="250"/>
    <n v="250"/>
  </r>
  <r>
    <s v="4.3.4"/>
    <s v=" PRE-PROD  Data"/>
    <n v="0"/>
    <s v="Evelyn Hart"/>
    <x v="5"/>
    <s v="ARCH"/>
    <s v="Evelyn Hart-ARCH"/>
    <n v="1"/>
    <n v="1"/>
    <d v="2025-03-03T00:00:00"/>
    <d v="2025-03-03T00:00:00"/>
    <n v="1"/>
    <n v="0"/>
    <n v="350"/>
    <n v="350"/>
    <n v="350"/>
  </r>
  <r>
    <s v="4.3.5"/>
    <s v=" PRE-PROD  Performance and Monitoring"/>
    <n v="0"/>
    <s v="Liam Gardner"/>
    <x v="4"/>
    <s v="PERL"/>
    <s v="Liam Gardner-PERL"/>
    <n v="2"/>
    <n v="2"/>
    <d v="2025-03-03T00:00:00"/>
    <d v="2025-03-04T00:00:00"/>
    <n v="2"/>
    <n v="0"/>
    <n v="400"/>
    <n v="800"/>
    <n v="800"/>
  </r>
  <r>
    <s v="5.1.1"/>
    <s v="Create a Stakeholder Report and Agree on a Go-Live Date"/>
    <n v="0"/>
    <s v="Un-Assigned"/>
    <x v="12"/>
    <s v="UNAS"/>
    <s v="Un-Assigned-UNAS"/>
    <n v="5"/>
    <n v="5"/>
    <d v="2025-03-03T00:00:00"/>
    <d v="2025-03-07T00:00:00"/>
    <n v="5"/>
    <n v="0"/>
    <n v="50"/>
    <n v="250"/>
    <n v="250"/>
  </r>
  <r>
    <s v="5.1.2"/>
    <s v="Verify Environment Readiness for Go-Live"/>
    <n v="0"/>
    <s v="Max Patel"/>
    <x v="2"/>
    <s v="SERD"/>
    <s v="Max Patel-SERD"/>
    <n v="5"/>
    <n v="5"/>
    <d v="2025-03-05T00:00:00"/>
    <d v="2025-03-11T00:00:00"/>
    <n v="7"/>
    <n v="0"/>
    <n v="450"/>
    <n v="2250"/>
    <n v="2250"/>
  </r>
  <r>
    <s v="5.1.3"/>
    <s v="Hand Over Production to Support"/>
    <n v="0"/>
    <s v="Hannah Fletcher"/>
    <x v="9"/>
    <s v="TECL"/>
    <s v="Hannah Fletcher-TECL"/>
    <n v="5"/>
    <n v="5"/>
    <d v="2025-03-05T00:00:00"/>
    <d v="2025-03-11T00:00:00"/>
    <n v="7"/>
    <n v="0"/>
    <n v="250"/>
    <n v="1250"/>
    <n v="1250"/>
  </r>
  <r>
    <s v="5.1.4"/>
    <s v="Conduct Post-Production Review and Project Retrospectives"/>
    <n v="0"/>
    <s v="Clara Bennett"/>
    <x v="0"/>
    <s v="PROD"/>
    <s v="Clara Bennett-PROD"/>
    <n v="5"/>
    <n v="5"/>
    <d v="2025-03-12T00:00:00"/>
    <d v="2025-03-18T00:00:00"/>
    <n v="7"/>
    <n v="0"/>
    <n v="500"/>
    <n v="2500"/>
    <n v="250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r>
    <n v="0"/>
    <s v=""/>
    <s v="N/A"/>
    <s v=""/>
    <x v="8"/>
    <s v=""/>
    <s v="-"/>
    <s v=""/>
    <s v=""/>
    <s v=""/>
    <s v=""/>
    <s v=""/>
    <s v=""/>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9D6066-153E-45B1-A567-7F6A302D1C1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44:F157" firstHeaderRow="0" firstDataRow="1" firstDataCol="1"/>
  <pivotFields count="16">
    <pivotField showAll="0"/>
    <pivotField showAll="0"/>
    <pivotField showAll="0"/>
    <pivotField showAll="0"/>
    <pivotField axis="axisRow" showAll="0">
      <items count="14">
        <item h="1" x="8"/>
        <item x="5"/>
        <item x="1"/>
        <item x="3"/>
        <item x="11"/>
        <item x="10"/>
        <item x="4"/>
        <item x="0"/>
        <item x="2"/>
        <item x="9"/>
        <item x="7"/>
        <item x="12"/>
        <item x="6"/>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s>
  <rowFields count="1">
    <field x="4"/>
  </rowFields>
  <rowItems count="13">
    <i>
      <x v="1"/>
    </i>
    <i>
      <x v="2"/>
    </i>
    <i>
      <x v="3"/>
    </i>
    <i>
      <x v="4"/>
    </i>
    <i>
      <x v="5"/>
    </i>
    <i>
      <x v="6"/>
    </i>
    <i>
      <x v="7"/>
    </i>
    <i>
      <x v="8"/>
    </i>
    <i>
      <x v="9"/>
    </i>
    <i>
      <x v="10"/>
    </i>
    <i>
      <x v="11"/>
    </i>
    <i>
      <x v="12"/>
    </i>
    <i t="grand">
      <x/>
    </i>
  </rowItems>
  <colFields count="1">
    <field x="-2"/>
  </colFields>
  <colItems count="2">
    <i>
      <x/>
    </i>
    <i i="1">
      <x v="1"/>
    </i>
  </colItems>
  <dataFields count="2">
    <dataField name="Sum of E_Cost" fld="15" baseField="0" baseItem="0"/>
    <dataField name="Sum of A_Cost" fld="14" baseField="0" baseItem="0"/>
  </dataFields>
  <formats count="1">
    <format dxfId="1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151B47-134A-49AF-ABC0-CD0D30EB190E}" name="tbl_project_summary" displayName="tbl_project_summary" ref="B5:O19" totalsRowCount="1" headerRowDxfId="207" dataDxfId="206" totalsRowDxfId="205">
  <autoFilter ref="B5:O18" xr:uid="{A6151B47-134A-49AF-ABC0-CD0D30EB190E}"/>
  <sortState xmlns:xlrd2="http://schemas.microsoft.com/office/spreadsheetml/2017/richdata2" ref="B6:O18">
    <sortCondition ref="B5:B18"/>
  </sortState>
  <tableColumns count="14">
    <tableColumn id="11" xr3:uid="{EDF47FFA-27AA-4B8F-B55C-30A3A3A3F0A7}" name="Ref" dataDxfId="204" totalsRowDxfId="203">
      <calculatedColumnFormula>Data!U4</calculatedColumnFormula>
    </tableColumn>
    <tableColumn id="1" xr3:uid="{B0C1D755-E2B4-4183-B127-3575B9C35B4C}" name="Project Reference" totalsRowLabel="Overall Progress" dataDxfId="202" totalsRowDxfId="201">
      <calculatedColumnFormula>IF(Data!C4&lt;&gt;"",Data!C4,"")</calculatedColumnFormula>
    </tableColumn>
    <tableColumn id="12" xr3:uid="{3B321AC7-F65C-4484-A361-48BD2D7F6CB3}" name="." dataDxfId="200" totalsRowDxfId="199"/>
    <tableColumn id="16" xr3:uid="{1790DE4E-D9D4-4002-A133-BBF17840B5D1}" name="Effort" dataDxfId="198" totalsRowDxfId="197">
      <calculatedColumnFormula>Data!V4</calculatedColumnFormula>
    </tableColumn>
    <tableColumn id="2" xr3:uid="{AEB68F3A-CFEE-49FE-9783-115733F0E603}" name="Start" dataDxfId="196" totalsRowDxfId="195">
      <calculatedColumnFormula>Data!D4</calculatedColumnFormula>
    </tableColumn>
    <tableColumn id="3" xr3:uid="{649BED34-FEE2-4F8E-9DF7-5B452DCD5CDA}" name="End" dataDxfId="194" totalsRowDxfId="193">
      <calculatedColumnFormula>Data!E4</calculatedColumnFormula>
    </tableColumn>
    <tableColumn id="4" xr3:uid="{62B9CC7C-A8D9-402F-8F5C-67BAB8460989}" name=" Days" dataDxfId="192" totalsRowDxfId="191">
      <calculatedColumnFormula>IF(tbl_project_summary[[#This Row],[End]]&lt;&gt;"",NETWORKDAYS(TODAY(),tbl_project_summary[[#This Row],[End]]),0)</calculatedColumnFormula>
    </tableColumn>
    <tableColumn id="14" xr3:uid="{5DEE19A5-D1B0-47F5-8768-262601507AD3}" name=" Effort" dataDxfId="190" totalsRowDxfId="189">
      <calculatedColumnFormula>IF(tbl_project_summary[[#This Row],[Effort]]&gt;0,tbl_project_summary[[#This Row],[Effort]]*(1-tbl_project_summary[[#This Row],[Status]]),0)</calculatedColumnFormula>
    </tableColumn>
    <tableColumn id="5" xr3:uid="{E0C5BC23-7730-4332-975E-A875337335FB}" name="Task 1" dataDxfId="188" totalsRowDxfId="187">
      <calculatedColumnFormula>Data!F4</calculatedColumnFormula>
    </tableColumn>
    <tableColumn id="6" xr3:uid="{949328FD-851F-4AAB-AC89-7E0B77EAAE9D}" name="Task 2" dataDxfId="186" totalsRowDxfId="185">
      <calculatedColumnFormula>Data!G4</calculatedColumnFormula>
    </tableColumn>
    <tableColumn id="7" xr3:uid="{7821D1EC-3490-4FA2-9A9F-F9CD41D9838E}" name="Task 3" dataDxfId="184" totalsRowDxfId="183">
      <calculatedColumnFormula>Data!H4</calculatedColumnFormula>
    </tableColumn>
    <tableColumn id="8" xr3:uid="{6CFFF4BF-FD8D-4A0D-AA16-1D1CEB912414}" name="Task 4" dataDxfId="182" totalsRowDxfId="181">
      <calculatedColumnFormula>Data!I4</calculatedColumnFormula>
    </tableColumn>
    <tableColumn id="9" xr3:uid="{96211966-3981-482A-AF1F-2ECE16307ACB}" name="Task 5" dataDxfId="180" totalsRowDxfId="179">
      <calculatedColumnFormula>Data!J4</calculatedColumnFormula>
    </tableColumn>
    <tableColumn id="10" xr3:uid="{33FD4DF9-1510-4E07-B971-227C501E5BE5}" name="Status" totalsRowFunction="custom" dataDxfId="178" totalsRowDxfId="177">
      <calculatedColumnFormula>IF(Data!T4&gt;=0,Data!T4,"")</calculatedColumnFormula>
      <totalsRowFormula>IF(SUBTOTAL(103, tbl_project_summary[Status]) &gt; 0, SUBTOTAL(109, tbl_project_summary[Status]) / COUNTIFS(tbl_project_summary[Status], "&lt;&gt;N/A", tbl_project_summary[Status], "&lt;&gt;", tbl_project_summary[Status], "&gt;=0%", tbl_project_summary[Status], "&lt;=100%"), 0)</totalsRow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2FD6DFF-DA4E-4343-97C9-535D46917235}" name="tbl_prj_schedu" displayName="tbl_prj_schedu" ref="B6:I85" totalsRowShown="0" headerRowDxfId="176" dataDxfId="175" tableBorderDxfId="174">
  <autoFilter ref="B6:I85" xr:uid="{02FD6DFF-DA4E-4343-97C9-535D46917235}"/>
  <tableColumns count="8">
    <tableColumn id="1" xr3:uid="{F1AE889E-CB02-4B05-8EF4-BD3ECD3EBFB5}" name="REF" dataDxfId="173" dataCellStyle="Task">
      <calculatedColumnFormula>IF($E7="N/A", "",ProjectPlan!B14)</calculatedColumnFormula>
    </tableColumn>
    <tableColumn id="2" xr3:uid="{951C4198-03A6-4DF9-9556-5BCA6E1EF06F}" name="TASK" dataDxfId="172" dataCellStyle="Task">
      <calculatedColumnFormula>IF(E7="N/A", "",ProjectPlan!C14)</calculatedColumnFormula>
    </tableColumn>
    <tableColumn id="3" xr3:uid="{F2086729-2461-40CB-8C0B-BA392BF6EC1E}" name="ASSIGNED_x000a_TO" dataDxfId="171" dataCellStyle="Name">
      <calculatedColumnFormula>IF(E7="N/A", "",ProjectPlan!M14)</calculatedColumnFormula>
    </tableColumn>
    <tableColumn id="4" xr3:uid="{306334D0-FC6C-49E5-88D1-445D7CC3D592}" name="PROGRESS" dataDxfId="170" dataCellStyle="Per cent">
      <calculatedColumnFormula>ProjectPlan!I14</calculatedColumnFormula>
    </tableColumn>
    <tableColumn id="5" xr3:uid="{A4816DCF-7860-49FC-9B2F-0B1D61AECD82}" name="START" dataDxfId="169" dataCellStyle="Date">
      <calculatedColumnFormula>IF(E7="N/A", "",ProjectPlan!E14)</calculatedColumnFormula>
    </tableColumn>
    <tableColumn id="6" xr3:uid="{7568C2E8-0C10-49EB-9989-465104465FFE}" name="END" dataDxfId="168" dataCellStyle="Date">
      <calculatedColumnFormula>IF(E7="N/A", "",ProjectPlan!F14)</calculatedColumnFormula>
    </tableColumn>
    <tableColumn id="7" xr3:uid="{99AB74E8-6AA1-459B-BF7C-47A6EEF371B5}" name="START Wk" dataDxfId="167">
      <calculatedColumnFormula>IF($E7="N/A", "",INT((F7-Project_Start)/7) + 1)</calculatedColumnFormula>
    </tableColumn>
    <tableColumn id="8" xr3:uid="{14095E40-5F91-4A95-B1C8-698F2D68D139}" name="Elapsed DAYS" dataDxfId="166">
      <calculatedColumnFormula>IF(OR(ISBLANK(task_start), ISBLANK(task_end)), "", IF(E7="N/A", 0, task_end-task_start+1))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D3574-26D0-4B2F-A46F-9563D78B9D64}" name="tbl_pct_status" displayName="tbl_pct_status" ref="T1:U11" totalsRowShown="0" headerRowDxfId="165" dataDxfId="164">
  <autoFilter ref="T1:U11" xr:uid="{BEED3574-26D0-4B2F-A46F-9563D78B9D64}">
    <filterColumn colId="0" hiddenButton="1"/>
    <filterColumn colId="1" hiddenButton="1"/>
  </autoFilter>
  <tableColumns count="2">
    <tableColumn id="1" xr3:uid="{9F5E8150-AB4F-4B9A-B230-1DCC3B4C9E02}" name="PCT" dataDxfId="163"/>
    <tableColumn id="2" xr3:uid="{3CFECFE6-13C6-4E0B-8C51-C724547A6352}" name="Status" dataDxfId="16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0092A9F-8D1E-468E-A2D9-EE9C83BDEEDE}" name="tbl_project_planner" displayName="tbl_project_planner" ref="B2:P93" totalsRowShown="0" headerRowDxfId="161" dataDxfId="160" tableBorderDxfId="159">
  <autoFilter ref="B2:P93" xr:uid="{60092A9F-8D1E-468E-A2D9-EE9C83BDEE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D80011E-C781-427A-AA6A-1A7CEDEA5BEA}" name="Ref" dataDxfId="158"/>
    <tableColumn id="2" xr3:uid="{4D04DB5D-EC73-4A80-882B-5EA7BAC3D97A}" name="Project" dataDxfId="157"/>
    <tableColumn id="3" xr3:uid="{8179DD99-07B5-4738-B195-190C996FA022}" name="Type" dataDxfId="156"/>
    <tableColumn id="4" xr3:uid="{6C3F4E1F-8F54-49FF-9055-8AB4784A0E51}" name="Start Date" dataDxfId="155">
      <calculatedColumnFormula>WORKDAY.INTL(E2,G2,,_xlfn._xlws.SORT(_xlfn.VSTACK(tbl_staff_holidays[Date],tbl_bank_holidays[Date])))</calculatedColumnFormula>
    </tableColumn>
    <tableColumn id="11" xr3:uid="{C802A3E3-019F-43FA-A629-039528499650}" name="End Date" dataDxfId="154"/>
    <tableColumn id="5" xr3:uid="{9151D274-5E6C-4EB0-B2DC-2DBBE94AE4A9}" name="Actual" dataDxfId="153"/>
    <tableColumn id="13" xr3:uid="{56197A1A-187D-42B8-BC60-8B491AB5913B}" name="Est" dataDxfId="152"/>
    <tableColumn id="6" xr3:uid="{0A53514C-C38F-4E2F-BF8B-95E4476F0F68}" name="Done%" dataDxfId="151" dataCellStyle="Per cent"/>
    <tableColumn id="7" xr3:uid="{E3AB7219-B0DD-45AE-800F-C07007F32C8D}" name="Dependency" dataDxfId="150"/>
    <tableColumn id="8" xr3:uid="{2F0AA3EC-AC6D-401F-AC40-279458B600A1}" name="Notes/Doc Ref/Links" dataDxfId="149"/>
    <tableColumn id="12" xr3:uid="{930D9FEE-A55A-46D7-8808-9B8B95D49E25}" name="Assigned To" dataDxfId="148"/>
    <tableColumn id="9" xr3:uid="{D8F39038-A294-4A67-AE3C-94DADCADF545}" name="Role" dataDxfId="147"/>
    <tableColumn id="14" xr3:uid="{9EFC43C9-F55A-408D-BCDF-C9149B5A45AC}" name="Elapse" dataDxfId="146"/>
    <tableColumn id="15" xr3:uid="{E6D93D23-7793-48CD-AAED-F5759300B7FC}" name="Holiday" dataDxfId="145"/>
    <tableColumn id="10" xr3:uid="{DE4BCA7D-D30A-4510-9C18-8A76FC5B2494}" name="Day" dataDxfId="144">
      <calculatedColumnFormula>IF(OR(tbl_project_planner[[#This Row],[End Date]]="",tbl_project_planner[[#This Row],[End Date]]="#N/A"),WEEKDAY(tbl_project_planner[[#This Row],[Start Date]],1),WEEKDAY(tbl_project_planner[[#This Row],[End Date]],1))</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4165D8-7B67-40E4-8948-B48BEFEE37C1}" name="tbl_bank_holidays" displayName="tbl_bank_holidays" ref="B2:C27" totalsRowShown="0" headerRowDxfId="143" dataDxfId="141" headerRowBorderDxfId="142" tableBorderDxfId="140" totalsRowBorderDxfId="139">
  <autoFilter ref="B2:C27" xr:uid="{CF4165D8-7B67-40E4-8948-B48BEFEE37C1}"/>
  <sortState xmlns:xlrd2="http://schemas.microsoft.com/office/spreadsheetml/2017/richdata2" ref="B3:C27">
    <sortCondition ref="C2:C27"/>
  </sortState>
  <tableColumns count="2">
    <tableColumn id="4" xr3:uid="{60EB0441-475F-4B76-9CE6-96F123E542F5}" name="Title" dataDxfId="138"/>
    <tableColumn id="5" xr3:uid="{B670E2B8-9563-4D7D-BC8C-215F205E5D3F}" name="Date" dataDxfId="137"/>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B58106-B113-442A-925A-972F3C3715E3}" name="tbl_staff_holidays" displayName="tbl_staff_holidays" ref="E2:I59" totalsRowShown="0" headerRowDxfId="136" dataDxfId="134" headerRowBorderDxfId="135" tableBorderDxfId="133" totalsRowBorderDxfId="132">
  <autoFilter ref="E2:I59" xr:uid="{8AB58106-B113-442A-925A-972F3C3715E3}"/>
  <sortState xmlns:xlrd2="http://schemas.microsoft.com/office/spreadsheetml/2017/richdata2" ref="E3:I59">
    <sortCondition ref="F2:F59"/>
  </sortState>
  <tableColumns count="5">
    <tableColumn id="1" xr3:uid="{8B6DB22D-9358-4D9F-85FA-AADD139BB8C9}" name="Staff" dataDxfId="131"/>
    <tableColumn id="2" xr3:uid="{2305EB54-388B-472D-911D-125C5E5CB594}" name="Date" dataDxfId="130"/>
    <tableColumn id="6" xr3:uid="{0FBE971C-C989-4F76-9C4C-F2BC9C4F4AE5}" name="Type" dataDxfId="129"/>
    <tableColumn id="5" xr3:uid="{C75839FE-62E5-42FB-BBE5-530DAD1BE63E}" name="Note" dataDxfId="128"/>
    <tableColumn id="3" xr3:uid="{64595202-BB45-4570-BEF2-EF69881677BA}" name="Day" dataDxfId="127">
      <calculatedColumnFormula>WEEKDAY(tbl_staff_holidays[[#This Row],[Date]],1)</calculatedColumnFormula>
    </tableColumn>
  </tableColumns>
  <tableStyleInfo name="TableStyleMedium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01D6DE-34E9-4A54-B1A7-4F7948B37C29}" name="tbl_holiday_type" displayName="tbl_holiday_type" ref="K2:K9" totalsRowShown="0" headerRowDxfId="126" dataDxfId="124" headerRowBorderDxfId="125">
  <autoFilter ref="K2:K9" xr:uid="{3E01D6DE-34E9-4A54-B1A7-4F7948B37C29}"/>
  <tableColumns count="1">
    <tableColumn id="1" xr3:uid="{3AB95A6D-4589-4551-A264-920E08D3A9E3}" name="Holiday Type" dataDxfId="123"/>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869ED05-0F3B-46A9-AC7D-B186A83BB90A}" name="tbl_staff_list" displayName="tbl_staff_list" ref="B2:E31" totalsRowShown="0" headerRowDxfId="122" headerRowBorderDxfId="121" tableBorderDxfId="120" totalsRowBorderDxfId="119">
  <autoFilter ref="B2:E31" xr:uid="{7869ED05-0F3B-46A9-AC7D-B186A83BB90A}"/>
  <sortState xmlns:xlrd2="http://schemas.microsoft.com/office/spreadsheetml/2017/richdata2" ref="B3:E17">
    <sortCondition ref="E2:E17"/>
  </sortState>
  <tableColumns count="4">
    <tableColumn id="1" xr3:uid="{1F09F583-03DA-404D-AEAF-50E3BD200411}" name="Name" dataDxfId="118"/>
    <tableColumn id="4" xr3:uid="{A0B07239-2A2D-4B3B-B362-EC45FCE2EBAB}" name="Daily_Rate" dataDxfId="117"/>
    <tableColumn id="2" xr3:uid="{9CA3530B-C267-4614-A38C-17E05A4CA186}" name="Role" dataDxfId="116"/>
    <tableColumn id="3" xr3:uid="{5E22F02E-BDEC-46C1-B9EF-BE18819B9793}" name="RoleRef" dataDxfId="115">
      <calculatedColumnFormula>_xlfn.XLOOKUP(tbl_staff_list[[#This Row],[Role]],tbl_roles[Roles],tbl_roles[ColRef])</calculatedColumnFormula>
    </tableColumn>
  </tableColumns>
  <tableStyleInfo name="TableStyleMedium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A41B68D-7C5E-4C9C-90D7-74794209E803}" name="tbl_roles" displayName="tbl_roles" ref="G2:I22" totalsRowShown="0">
  <autoFilter ref="G2:I22" xr:uid="{4A41B68D-7C5E-4C9C-90D7-74794209E803}"/>
  <sortState xmlns:xlrd2="http://schemas.microsoft.com/office/spreadsheetml/2017/richdata2" ref="G3:G14">
    <sortCondition ref="G2:G14"/>
  </sortState>
  <tableColumns count="3">
    <tableColumn id="1" xr3:uid="{FF39B089-7614-4CFD-8C7F-71989F6F46B0}" name="Roles" dataDxfId="114"/>
    <tableColumn id="3" xr3:uid="{641EC916-DA7F-4AA0-97F3-F0E64E1390D9}" name="Short Code" dataDxfId="113"/>
    <tableColumn id="2" xr3:uid="{473E327A-E1BB-4768-BE47-3605916CA085}" name="ColRef" dataDxfId="112">
      <calculatedColumnFormula>"RoleRef" &amp; "_" &amp; ROW()-2</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63AE90-5214-40F2-A456-4D8AD927AE47}" name="tbl_project_helper" displayName="tbl_project_helper" ref="B3:X16" totalsRowShown="0" headerRowDxfId="110">
  <autoFilter ref="B3:X16" xr:uid="{9363AE90-5214-40F2-A456-4D8AD927AE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33BCAB91-5A76-43E3-A58A-8FE1E5E5180F}" name="ref">
      <calculatedColumnFormula>B3+7</calculatedColumnFormula>
    </tableColumn>
    <tableColumn id="2" xr3:uid="{DEF6E13C-5224-40D2-9DFE-03289664EF01}" name="Project Reference" dataDxfId="109">
      <calculatedColumnFormula>IF(OR(tbl_project_helper[[#This Row],[check]]=0,tbl_project_helper[[#This Row],[check]]=""),"",tbl_project_helper[[#This Row],[check]])</calculatedColumnFormula>
    </tableColumn>
    <tableColumn id="3" xr3:uid="{95ED2EE4-C773-4B07-A03A-D1047E84B49E}" name="Start" dataDxfId="108">
      <calculatedColumnFormula array="1">IF(tbl_project_helper[[#This Row],[Used]]&lt;5,INDIRECT("ProjectPlan!E"&amp;L4),"")</calculatedColumnFormula>
    </tableColumn>
    <tableColumn id="4" xr3:uid="{BB9C510D-6653-4877-AEA9-B6CEB2DD721C}" name="End" dataDxfId="107">
      <calculatedColumnFormula array="1">IF(tbl_project_helper[[#This Row],[Used]]&lt;5,INDIRECT("ProjectPlan!E"&amp;M4),"")</calculatedColumnFormula>
    </tableColumn>
    <tableColumn id="5" xr3:uid="{B59D9826-C8C6-4F0E-85AF-E7D4FE2527ED}" name="Task 1" dataDxfId="106">
      <calculatedColumnFormula array="1">INDIRECT("ProjectPlan!I"&amp;N4)</calculatedColumnFormula>
    </tableColumn>
    <tableColumn id="6" xr3:uid="{186B82A8-F7C5-4889-969B-AFAE338FED1A}" name="Task 2" dataDxfId="105">
      <calculatedColumnFormula array="1">INDIRECT("ProjectPlan!I"&amp;O4)</calculatedColumnFormula>
    </tableColumn>
    <tableColumn id="7" xr3:uid="{5CC148FC-E125-48D8-9E2F-95F43E136651}" name="Task 3" dataDxfId="104">
      <calculatedColumnFormula array="1">INDIRECT("ProjectPlan!I"&amp;P4)</calculatedColumnFormula>
    </tableColumn>
    <tableColumn id="8" xr3:uid="{AD42912D-E48D-467A-B206-A0C3F50AA991}" name="Task 4" dataDxfId="103">
      <calculatedColumnFormula array="1">INDIRECT("ProjectPlan!I"&amp;Q4)</calculatedColumnFormula>
    </tableColumn>
    <tableColumn id="9" xr3:uid="{03AC646D-4763-4991-A54D-4D71FFD90A1C}" name="Task 5" dataDxfId="102">
      <calculatedColumnFormula array="1">INDIRECT("ProjectPlan!I"&amp;R4)</calculatedColumnFormula>
    </tableColumn>
    <tableColumn id="10" xr3:uid="{658A26F6-82B0-4F7B-AEF8-B60A5D65E056}" name="Selected" dataDxfId="101">
      <calculatedColumnFormula>IF(tbl_project_helper[[#This Row],[Used]]&lt;5,IF(AND(MONTH(tbl_project_helper[[#This Row],[End]])=MONTH(DATEVALUE($D$24&amp;" 1")), YEAR(tbl_project_helper[[#This Row],[End]])=YEAR(DATEVALUE("1 "&amp;$D$24&amp;" "&amp;$E$24))), 1, 0),0)</calculatedColumnFormula>
    </tableColumn>
    <tableColumn id="11" xr3:uid="{D43081BE-BC12-422B-B69C-A6BAF07B6593}" name="a">
      <calculatedColumnFormula>B4+1</calculatedColumnFormula>
    </tableColumn>
    <tableColumn id="12" xr3:uid="{E273E04B-1D14-4C6C-8F45-A501C3DD28D4}" name="b">
      <calculatedColumnFormula>L4+5</calculatedColumnFormula>
    </tableColumn>
    <tableColumn id="13" xr3:uid="{66734BA1-5330-4560-AABF-A83B785BDB79}" name="c">
      <calculatedColumnFormula>L4</calculatedColumnFormula>
    </tableColumn>
    <tableColumn id="14" xr3:uid="{4A261080-798B-4CB0-998E-E1B4005A385B}" name="d">
      <calculatedColumnFormula>N4+1</calculatedColumnFormula>
    </tableColumn>
    <tableColumn id="15" xr3:uid="{43C1EE2B-34AA-4B50-AA72-F8A242A3D932}" name="e">
      <calculatedColumnFormula>O4+1</calculatedColumnFormula>
    </tableColumn>
    <tableColumn id="16" xr3:uid="{DD0461BD-2BA5-4453-8ABC-A94379DCC3B4}" name="f">
      <calculatedColumnFormula>P4+1</calculatedColumnFormula>
    </tableColumn>
    <tableColumn id="17" xr3:uid="{DF1CC843-6599-43B9-A68D-6A8D06EC7F3E}" name="g">
      <calculatedColumnFormula>Q4+1</calculatedColumnFormula>
    </tableColumn>
    <tableColumn id="21" xr3:uid="{1E83A54D-826B-481E-B487-CF8CCE22BD19}" name="h">
      <calculatedColumnFormula>tbl_project_helper[[#This Row],[g]]+1</calculatedColumnFormula>
    </tableColumn>
    <tableColumn id="18" xr3:uid="{22DF57FC-AA77-45E7-8C95-0BA3A63BCFF0}" name="Status" dataDxfId="100">
      <calculatedColumnFormula array="1">IFERROR(SUM(IF(ISNUMBER(tbl_project_helper[[#This Row],[Task 1]:[Task 5]]), tbl_project_helper[[#This Row],[Task 1]:[Task 5]], 0)) / COUNTIF(tbl_project_helper[[#This Row],[Task 1]:[Task 5]], "&lt;&gt;N/A"), -0.01)</calculatedColumnFormula>
    </tableColumn>
    <tableColumn id="19" xr3:uid="{29E51E72-4E50-4404-B7DF-B92DF51FEE5A}" name="Story" dataDxfId="99">
      <calculatedColumnFormula array="1">Information!$B$2&amp;" " &amp; INDIRECT("ProjectPlan!B"&amp;B4)</calculatedColumnFormula>
    </tableColumn>
    <tableColumn id="20" xr3:uid="{117FEEA2-B8FF-4CAF-975F-E02871CE05FB}" name="Effort" dataDxfId="98">
      <calculatedColumnFormula array="1">INDIRECT("ProjectPlan!G"&amp;S4)</calculatedColumnFormula>
    </tableColumn>
    <tableColumn id="22" xr3:uid="{024DED30-F1AA-4F45-9577-447CF673E316}" name="Used">
      <calculatedColumnFormula>COUNTIF(tbl_project_helper[[#This Row],[Task 1]:[Task 5]],"N/A")</calculatedColumnFormula>
    </tableColumn>
    <tableColumn id="23" xr3:uid="{7F994C1F-9A2E-443F-97F1-27289559A20A}" name="check">
      <calculatedColumnFormula array="1">INDIRECT("ProjectPlan!C"&amp;B4)</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656EE33-C191-43E8-B42E-5C608E25E78F}" name="tbl_line_chart" displayName="tbl_line_chart" ref="B39:E52" totalsRowShown="0">
  <autoFilter ref="B39:E52" xr:uid="{5656EE33-C191-43E8-B42E-5C608E25E78F}"/>
  <tableColumns count="4">
    <tableColumn id="1" xr3:uid="{88A190BC-B2AC-4B79-9D28-9DDA9EDB2750}" name="Date" dataDxfId="97">
      <calculatedColumnFormula>IF(W4&lt;5,E4,NA())</calculatedColumnFormula>
    </tableColumn>
    <tableColumn id="2" xr3:uid="{C03B6BAC-3D86-41BF-AA51-E9507EA77193}" name="Project">
      <calculatedColumnFormula>IF(W4&lt;5,U4,NA())</calculatedColumnFormula>
    </tableColumn>
    <tableColumn id="3" xr3:uid="{EAF9B7C0-7C88-44E4-BC23-8BC8B8764B08}" name="Height">
      <calculatedColumnFormula>D39*-1</calculatedColumnFormula>
    </tableColumn>
    <tableColumn id="4" xr3:uid="{C7BE99C4-B318-480C-A450-87AD9091CE3F}" name="Axis">
      <calculatedColumnFormula>IF(W4&lt;5,0,NA())</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F1C850C-5C57-4E3B-A63B-3C1662F0C6B6}" name="tbl_AssignRole" displayName="tbl_AssignRole" ref="B75:R141" totalsRowCount="1" headerRowDxfId="96">
  <autoFilter ref="B75:R140" xr:uid="{6F1C850C-5C57-4E3B-A63B-3C1662F0C6B6}"/>
  <tableColumns count="17">
    <tableColumn id="10" xr3:uid="{ED1160C3-46A0-41C8-BA6C-5FDE46626A6B}" name="Chk" totalsRowFunction="count" dataDxfId="95">
      <calculatedColumnFormula>IF(tbl_AssignRole[[#This Row],[Ref]]&lt;&gt;0,tbl_AssignRole[[#This Row],[Ref]],"N/A")</calculatedColumnFormula>
    </tableColumn>
    <tableColumn id="1" xr3:uid="{DB0BE000-D678-401D-AF06-B88FEA3AF15F}" name="Ref" dataDxfId="94">
      <calculatedColumnFormula>ProjectPlan!B28</calculatedColumnFormula>
    </tableColumn>
    <tableColumn id="8" xr3:uid="{02A22FE6-8D7E-4C9C-A483-6D78F4A61848}" name="Desc" dataDxfId="93">
      <calculatedColumnFormula>IFERROR(_xlfn.XLOOKUP(C76,tbl_project_planner[Ref],tbl_project_planner[Project],,0,),"")</calculatedColumnFormula>
    </tableColumn>
    <tableColumn id="2" xr3:uid="{7DF301AF-5403-421F-A0C2-9FC542B06686}" name="Done" dataDxfId="92" totalsRowDxfId="91">
      <calculatedColumnFormula>IF(tbl_AssignRole[[#This Row],[Chk]]="N/A","N/A",IFERROR(_xlfn.XLOOKUP(tbl_AssignRole[[#This Row],[Ref]],tbl_project_planner[Ref],tbl_project_planner[Done%],,0,),""))</calculatedColumnFormula>
    </tableColumn>
    <tableColumn id="3" xr3:uid="{B6DEC263-7848-4AD6-A55B-0EF3AC014B33}" name="Assigned">
      <calculatedColumnFormula>IF(E76&lt;&gt;"N/A",_xlfn.XLOOKUP(C76,tbl_project_planner[Ref],tbl_project_planner[Assigned To],,0,),"")</calculatedColumnFormula>
    </tableColumn>
    <tableColumn id="4" xr3:uid="{1FD410E8-A94B-4F5C-8168-51F4F403E519}" name="Role">
      <calculatedColumnFormula>IF(E76&lt;&gt;"N/A",_xlfn.XLOOKUP(C76,tbl_project_planner[Ref],tbl_project_planner[Role],,0,),"")</calculatedColumnFormula>
    </tableColumn>
    <tableColumn id="5" xr3:uid="{77A2E561-7410-40BD-9A88-1F7D13D1D1E9}" name="ShortCode">
      <calculatedColumnFormula>IF(E76&lt;&gt;"N/A",_xlfn.XLOOKUP(Data!G76,tbl_roles[Roles],tbl_roles[Short Code],,0,),"")</calculatedColumnFormula>
    </tableColumn>
    <tableColumn id="6" xr3:uid="{3104D2F2-F7E1-47CF-8FC0-60CC038BC370}" name="AssigRole">
      <calculatedColumnFormula>_xlfn.CONCAT(F76,"-",H76)</calculatedColumnFormula>
    </tableColumn>
    <tableColumn id="7" xr3:uid="{6BDF58A0-488E-47E1-A522-88499B91379F}" name="Actual">
      <calculatedColumnFormula>IFERROR(_xlfn.XLOOKUP(C76,tbl_project_planner[Ref],tbl_project_planner[Actual],,0,),"")</calculatedColumnFormula>
    </tableColumn>
    <tableColumn id="9" xr3:uid="{7BC6BC7D-2897-47BC-BE7E-69EC3AAC3E26}" name="Est" dataDxfId="90" totalsRowDxfId="89">
      <calculatedColumnFormula array="1">IFERROR(_xlfn.XLOOKUP(C76,tbl_project_planner[Ref],IF(tbl_project_planner[Est]&gt;0,tbl_project_planner[Est],"-"),,0,),"")</calculatedColumnFormula>
    </tableColumn>
    <tableColumn id="12" xr3:uid="{C7722ABF-A63B-478F-9FE8-DBEF5680A3B5}" name="Start_date">
      <calculatedColumnFormula>IFERROR(_xlfn.XLOOKUP(C76,tbl_project_planner[Ref],tbl_project_planner[Start Date],,0,),"")</calculatedColumnFormula>
    </tableColumn>
    <tableColumn id="13" xr3:uid="{575E50CB-5CDF-40AE-A1DD-5B7AD1965BC4}" name="End_Date">
      <calculatedColumnFormula>IFERROR(_xlfn.XLOOKUP(C76,tbl_project_planner[Ref],tbl_project_planner[End Date],,0,),"")</calculatedColumnFormula>
    </tableColumn>
    <tableColumn id="14" xr3:uid="{2A3C1706-C8F5-4C4F-A76D-05E4107F23D2}" name="Elapse">
      <calculatedColumnFormula>IFERROR(_xlfn.XLOOKUP(C76,tbl_project_planner[Ref],tbl_project_planner[Elapse],,0,),"")</calculatedColumnFormula>
    </tableColumn>
    <tableColumn id="15" xr3:uid="{C389FE07-E4D9-47D5-9639-345230E684EA}" name="Hols">
      <calculatedColumnFormula>IFERROR(_xlfn.XLOOKUP(C76,tbl_project_planner[Ref],tbl_project_planner[Holiday],,0,),"")</calculatedColumnFormula>
    </tableColumn>
    <tableColumn id="17" xr3:uid="{CEAAC89B-CF0A-4DDC-B6AA-F199D306D23C}" name="Rate">
      <calculatedColumnFormula>(_xlfn.XLOOKUP(tbl_AssignRole[[#This Row],[Assigned]],tbl_staff_list[Name],tbl_staff_list[Daily_Rate],0,0))</calculatedColumnFormula>
    </tableColumn>
    <tableColumn id="11" xr3:uid="{1E74246A-A059-4E6E-B644-311AB13089F7}" name="A_Cost" totalsRowFunction="sum" totalsRowDxfId="88">
      <calculatedColumnFormula>IF(tbl_AssignRole[[#This Row],[Chk]]="N/A",0,tbl_AssignRole[[#This Row],[Actual]]*tbl_AssignRole[[#This Row],[Rate]])</calculatedColumnFormula>
    </tableColumn>
    <tableColumn id="16" xr3:uid="{D2B1A267-6F6B-45E9-8F5B-880538AB87F5}" name="E_Cost" totalsRowFunction="sum" totalsRowDxfId="87">
      <calculatedColumnFormula>IF(tbl_AssignRole[[#This Row],[Chk]]="N/A",0,tbl_AssignRole[[#This Row],[Est]]*tbl_AssignRole[[#This Row],[Rate]])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ixeltech.wixsite.com/jixeltechblog/offer"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vmlDrawing" Target="../drawings/vmlDrawing2.v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ivotTable" Target="../pivotTables/pivotTable1.xm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D2338-0F86-4418-ACCC-233B783AE27E}">
  <dimension ref="A1:G33"/>
  <sheetViews>
    <sheetView zoomScale="90" zoomScaleNormal="90" workbookViewId="0">
      <selection activeCell="C2" sqref="C2:E2"/>
    </sheetView>
  </sheetViews>
  <sheetFormatPr defaultRowHeight="15" x14ac:dyDescent="0.25"/>
  <cols>
    <col min="1" max="1" width="3.140625" customWidth="1"/>
    <col min="2" max="2" width="4.140625" bestFit="1" customWidth="1"/>
    <col min="3" max="3" width="29.28515625" customWidth="1"/>
    <col min="4" max="4" width="108.7109375" bestFit="1" customWidth="1"/>
    <col min="5" max="5" width="18.28515625" bestFit="1" customWidth="1"/>
    <col min="7" max="7" width="15.5703125" bestFit="1" customWidth="1"/>
  </cols>
  <sheetData>
    <row r="1" spans="2:7" ht="48" customHeight="1" x14ac:dyDescent="0.35">
      <c r="C1" t="e" vm="1">
        <v>#VALUE!</v>
      </c>
      <c r="D1" s="299" t="s">
        <v>445</v>
      </c>
    </row>
    <row r="2" spans="2:7" ht="63" customHeight="1" x14ac:dyDescent="0.25">
      <c r="C2" s="473" t="s">
        <v>448</v>
      </c>
      <c r="D2" s="473"/>
      <c r="E2" s="473"/>
    </row>
    <row r="4" spans="2:7" ht="26.25" x14ac:dyDescent="0.4">
      <c r="B4" s="425"/>
      <c r="C4" s="426" t="s">
        <v>364</v>
      </c>
      <c r="D4" s="126" t="s">
        <v>447</v>
      </c>
      <c r="E4" s="128"/>
    </row>
    <row r="5" spans="2:7" ht="9.75" customHeight="1" thickBot="1" x14ac:dyDescent="0.3">
      <c r="E5" s="122"/>
    </row>
    <row r="6" spans="2:7" ht="42.75" thickBot="1" x14ac:dyDescent="0.3">
      <c r="B6" s="117">
        <v>1</v>
      </c>
      <c r="C6" s="118" t="s">
        <v>78</v>
      </c>
      <c r="D6" s="116" t="s">
        <v>441</v>
      </c>
      <c r="E6" s="129" t="s">
        <v>149</v>
      </c>
    </row>
    <row r="7" spans="2:7" ht="42.75" thickBot="1" x14ac:dyDescent="0.3">
      <c r="B7" s="117">
        <v>2</v>
      </c>
      <c r="C7" s="118" t="s">
        <v>383</v>
      </c>
      <c r="D7" s="116" t="s">
        <v>442</v>
      </c>
      <c r="E7" s="129" t="s">
        <v>383</v>
      </c>
    </row>
    <row r="8" spans="2:7" ht="21.75" thickBot="1" x14ac:dyDescent="0.3">
      <c r="B8" s="117">
        <v>3</v>
      </c>
      <c r="C8" s="118" t="s">
        <v>136</v>
      </c>
      <c r="D8" s="116" t="s">
        <v>156</v>
      </c>
      <c r="E8" s="129" t="s">
        <v>146</v>
      </c>
    </row>
    <row r="9" spans="2:7" ht="42.75" thickBot="1" x14ac:dyDescent="0.3">
      <c r="B9" s="117">
        <v>4</v>
      </c>
      <c r="C9" s="118" t="s">
        <v>137</v>
      </c>
      <c r="D9" s="116" t="s">
        <v>443</v>
      </c>
      <c r="E9" s="129" t="s">
        <v>147</v>
      </c>
    </row>
    <row r="10" spans="2:7" ht="21.75" thickBot="1" x14ac:dyDescent="0.3">
      <c r="B10" s="117">
        <v>5</v>
      </c>
      <c r="C10" s="118" t="s">
        <v>104</v>
      </c>
      <c r="D10" s="116" t="s">
        <v>444</v>
      </c>
      <c r="E10" s="129" t="s">
        <v>361</v>
      </c>
    </row>
    <row r="11" spans="2:7" ht="42.75" thickBot="1" x14ac:dyDescent="0.3">
      <c r="B11" s="117">
        <v>6</v>
      </c>
      <c r="C11" s="118" t="s">
        <v>138</v>
      </c>
      <c r="D11" s="116" t="s">
        <v>449</v>
      </c>
      <c r="E11" s="129" t="s">
        <v>361</v>
      </c>
    </row>
    <row r="12" spans="2:7" ht="21.75" thickBot="1" x14ac:dyDescent="0.3">
      <c r="B12" s="117">
        <v>7</v>
      </c>
      <c r="C12" s="118" t="s">
        <v>139</v>
      </c>
      <c r="D12" s="123" t="s">
        <v>450</v>
      </c>
      <c r="E12" s="129" t="s">
        <v>96</v>
      </c>
    </row>
    <row r="13" spans="2:7" ht="42.75" thickBot="1" x14ac:dyDescent="0.3">
      <c r="B13" s="117">
        <v>8</v>
      </c>
      <c r="C13" s="118" t="s">
        <v>174</v>
      </c>
      <c r="D13" s="123" t="s">
        <v>175</v>
      </c>
      <c r="E13" s="129" t="s">
        <v>148</v>
      </c>
      <c r="G13" s="156"/>
    </row>
    <row r="14" spans="2:7" ht="42.75" thickBot="1" x14ac:dyDescent="0.3">
      <c r="B14" s="117">
        <v>9</v>
      </c>
      <c r="C14" s="118" t="s">
        <v>173</v>
      </c>
      <c r="D14" s="123" t="s">
        <v>362</v>
      </c>
      <c r="E14" s="129" t="s">
        <v>361</v>
      </c>
    </row>
    <row r="15" spans="2:7" ht="10.5" customHeight="1" x14ac:dyDescent="0.25"/>
    <row r="16" spans="2:7" ht="26.25" x14ac:dyDescent="0.4">
      <c r="B16" s="425"/>
      <c r="C16" s="426" t="s">
        <v>141</v>
      </c>
      <c r="D16" s="126"/>
      <c r="E16" s="128"/>
    </row>
    <row r="17" spans="1:4" ht="11.25" customHeight="1" x14ac:dyDescent="0.4">
      <c r="A17" s="127"/>
    </row>
    <row r="18" spans="1:4" ht="42" x14ac:dyDescent="0.25">
      <c r="B18" s="117">
        <v>1</v>
      </c>
      <c r="C18" s="120" t="s">
        <v>143</v>
      </c>
      <c r="D18" s="116" t="s">
        <v>394</v>
      </c>
    </row>
    <row r="19" spans="1:4" ht="63" x14ac:dyDescent="0.25">
      <c r="B19" s="117">
        <v>2</v>
      </c>
      <c r="C19" s="120" t="s">
        <v>144</v>
      </c>
      <c r="D19" s="116" t="s">
        <v>393</v>
      </c>
    </row>
    <row r="20" spans="1:4" ht="84" x14ac:dyDescent="0.25">
      <c r="B20" s="117">
        <v>3</v>
      </c>
      <c r="C20" s="120" t="s">
        <v>397</v>
      </c>
      <c r="D20" s="116" t="s">
        <v>162</v>
      </c>
    </row>
    <row r="21" spans="1:4" ht="42" x14ac:dyDescent="0.25">
      <c r="B21" s="117">
        <v>4</v>
      </c>
      <c r="C21" s="120" t="s">
        <v>438</v>
      </c>
      <c r="D21" s="116" t="s">
        <v>451</v>
      </c>
    </row>
    <row r="23" spans="1:4" ht="10.5" customHeight="1" x14ac:dyDescent="0.25"/>
    <row r="24" spans="1:4" ht="26.25" x14ac:dyDescent="0.4">
      <c r="B24" s="425"/>
      <c r="C24" s="426" t="s">
        <v>27</v>
      </c>
      <c r="D24" s="128"/>
    </row>
    <row r="25" spans="1:4" ht="11.25" customHeight="1" x14ac:dyDescent="0.4">
      <c r="A25" s="127"/>
    </row>
    <row r="26" spans="1:4" ht="21" x14ac:dyDescent="0.25">
      <c r="B26" s="117">
        <v>1</v>
      </c>
      <c r="C26" s="120" t="s">
        <v>150</v>
      </c>
      <c r="D26" s="116" t="s">
        <v>396</v>
      </c>
    </row>
    <row r="27" spans="1:4" ht="273" x14ac:dyDescent="0.25">
      <c r="B27" s="117">
        <v>2</v>
      </c>
      <c r="C27" s="120" t="s">
        <v>178</v>
      </c>
      <c r="D27" s="116" t="s">
        <v>395</v>
      </c>
    </row>
    <row r="28" spans="1:4" ht="84" x14ac:dyDescent="0.25">
      <c r="B28" s="117">
        <v>3</v>
      </c>
      <c r="C28" s="120" t="s">
        <v>151</v>
      </c>
      <c r="D28" s="116" t="s">
        <v>160</v>
      </c>
    </row>
    <row r="29" spans="1:4" ht="42" x14ac:dyDescent="0.25">
      <c r="B29" s="117">
        <v>4</v>
      </c>
      <c r="C29" s="120" t="s">
        <v>148</v>
      </c>
      <c r="D29" s="116" t="s">
        <v>161</v>
      </c>
    </row>
    <row r="30" spans="1:4" ht="42" x14ac:dyDescent="0.25">
      <c r="B30" s="117">
        <v>5</v>
      </c>
      <c r="C30" s="120" t="s">
        <v>152</v>
      </c>
      <c r="D30" s="116" t="s">
        <v>157</v>
      </c>
    </row>
    <row r="31" spans="1:4" ht="21" x14ac:dyDescent="0.25">
      <c r="B31" s="117">
        <v>6</v>
      </c>
      <c r="C31" s="120" t="s">
        <v>153</v>
      </c>
      <c r="D31" s="158" t="s">
        <v>154</v>
      </c>
    </row>
    <row r="32" spans="1:4" ht="21" x14ac:dyDescent="0.25">
      <c r="B32" s="117">
        <v>7</v>
      </c>
      <c r="C32" s="120" t="s">
        <v>439</v>
      </c>
      <c r="D32" s="116" t="s">
        <v>440</v>
      </c>
    </row>
    <row r="33" spans="2:4" ht="21" x14ac:dyDescent="0.25">
      <c r="B33" s="117">
        <v>8</v>
      </c>
      <c r="C33" s="120" t="s">
        <v>297</v>
      </c>
      <c r="D33" s="116" t="s">
        <v>365</v>
      </c>
    </row>
  </sheetData>
  <sheetProtection algorithmName="SHA-512" hashValue="6zlpxV+PjGlbq7shGv1jEkauAIu3HrqpSMRPnUpwvcN6M3BLtrkR6JjPVMopjixKx7EMj16cR22Y9JjDh2Jhhg==" saltValue="o4S8WyxFJ2bs+TMBDG8H1Q==" spinCount="100000" sheet="1" objects="1" scenarios="1" formatCells="0" formatColumns="0" formatRows="0" sort="0" autoFilter="0"/>
  <mergeCells count="1">
    <mergeCell ref="C2:E2"/>
  </mergeCells>
  <hyperlinks>
    <hyperlink ref="E6" location="'ProjectSummary'!A1" display="ProjectSummary" xr:uid="{87F74437-4890-468C-9F51-0AB522391D7C}"/>
    <hyperlink ref="E8" location="'ProjectSchedule'!A1" display="ProjectSchedule" xr:uid="{68CFBEBC-A070-4D0F-A7F0-156BD113A88E}"/>
    <hyperlink ref="E9" location="'ProjectPlan'!A1" display="ProjectPlan" xr:uid="{DF1F79DA-8E52-41CA-9595-34FEC43E50DB}"/>
    <hyperlink ref="E13" location="'Information'!A1" display="Information" xr:uid="{24CA6BA1-19A9-4404-96C2-8705E32A5A15}"/>
    <hyperlink ref="E10" location="'Holidays'!A1" display="Holidays" xr:uid="{6F881742-ED5D-497E-89A0-97A4D2C45C23}"/>
    <hyperlink ref="E12" location="'Staff'!A1" display="Staff" xr:uid="{3AA341ED-48EF-4CC9-8B72-AFF6F259D516}"/>
    <hyperlink ref="E11" location="'Holidays'!A1" display="Holidays" xr:uid="{B8FA5DC0-BED8-43A7-AC18-EB993538FA9B}"/>
    <hyperlink ref="E14" location="'Holidays'!A1" display="Holidays" xr:uid="{DE2F3033-CDDA-442D-AB84-C484E3C7E6C3}"/>
    <hyperlink ref="E7" location="Report!A1" display="Report" xr:uid="{36A45235-DA56-425F-B9A4-F7AA94689AE8}"/>
    <hyperlink ref="D1" r:id="rId1" xr:uid="{52233616-707F-4128-998C-4AE5D2D11A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08B76-2CF5-4256-B82B-F167A10CC801}">
  <sheetPr codeName="Sheet1"/>
  <dimension ref="A1:X73"/>
  <sheetViews>
    <sheetView showGridLines="0" tabSelected="1" zoomScale="80" zoomScaleNormal="80" workbookViewId="0">
      <selection activeCell="G2" sqref="G2"/>
    </sheetView>
  </sheetViews>
  <sheetFormatPr defaultRowHeight="15" x14ac:dyDescent="0.25"/>
  <cols>
    <col min="1" max="1" width="2.42578125" style="11" customWidth="1"/>
    <col min="2" max="2" width="12.5703125" style="11" bestFit="1" customWidth="1"/>
    <col min="3" max="3" width="50.85546875" style="11" bestFit="1" customWidth="1"/>
    <col min="4" max="4" width="7.42578125" style="11" customWidth="1"/>
    <col min="5" max="5" width="8.85546875" style="11" customWidth="1"/>
    <col min="6" max="7" width="13" style="11" bestFit="1" customWidth="1"/>
    <col min="8" max="8" width="11.42578125" style="11" bestFit="1" customWidth="1"/>
    <col min="9" max="9" width="12" style="11" bestFit="1" customWidth="1"/>
    <col min="10" max="15" width="11.42578125" style="11" customWidth="1"/>
    <col min="16" max="16" width="1" style="11" customWidth="1"/>
    <col min="17" max="17" width="1" style="63" customWidth="1"/>
    <col min="18" max="18" width="11.140625" style="11" customWidth="1"/>
    <col min="19" max="24" width="8.85546875" style="11"/>
  </cols>
  <sheetData>
    <row r="1" spans="1:23" x14ac:dyDescent="0.25">
      <c r="A1"/>
      <c r="B1"/>
      <c r="C1"/>
      <c r="D1"/>
      <c r="E1"/>
      <c r="F1"/>
      <c r="G1"/>
      <c r="H1"/>
      <c r="I1"/>
      <c r="J1"/>
      <c r="K1"/>
      <c r="L1"/>
      <c r="M1"/>
      <c r="N1"/>
      <c r="O1"/>
      <c r="P1"/>
    </row>
    <row r="2" spans="1:23" ht="39" customHeight="1" x14ac:dyDescent="0.4">
      <c r="A2"/>
      <c r="B2" s="477" t="str">
        <f>_xlfn.CONCAT("Project Summary: ",Information!D2)</f>
        <v>Project Summary: New expenditure and commissions system.</v>
      </c>
      <c r="C2" s="478"/>
      <c r="D2" s="130"/>
      <c r="E2" s="479" t="s">
        <v>126</v>
      </c>
      <c r="F2" s="480"/>
      <c r="G2" s="177" t="s">
        <v>453</v>
      </c>
      <c r="H2" s="178">
        <v>2025</v>
      </c>
      <c r="I2"/>
      <c r="J2" s="476" t="str">
        <f ca="1">IF(ISNUMBER(MATCH(H2,_xlfn.ANCHORARRAY(Data!D19),0)),"","The year is not valid for the month, please change!")</f>
        <v/>
      </c>
      <c r="K2" s="476"/>
      <c r="L2" s="476"/>
      <c r="M2" s="121" t="s">
        <v>134</v>
      </c>
      <c r="N2"/>
      <c r="O2"/>
      <c r="P2"/>
      <c r="R2" s="91" t="str">
        <f>_xlfn.CONCAT(G2," ",H2," "," - (Selected Month!)")</f>
        <v>March 2025  - (Selected Month!)</v>
      </c>
      <c r="T2" s="54"/>
      <c r="U2" s="54"/>
      <c r="V2" s="54"/>
    </row>
    <row r="3" spans="1:23" ht="6.6" customHeight="1" x14ac:dyDescent="0.4">
      <c r="A3"/>
      <c r="B3" s="35"/>
      <c r="C3"/>
      <c r="D3"/>
      <c r="E3" s="23"/>
      <c r="F3"/>
      <c r="G3" s="12"/>
      <c r="H3"/>
      <c r="I3"/>
      <c r="J3" s="476"/>
      <c r="K3" s="476"/>
      <c r="L3" s="476"/>
      <c r="M3"/>
      <c r="N3" s="51"/>
      <c r="O3" s="69" t="b">
        <f ca="1">ISNUMBER(MATCH(H2,_xlfn.ANCHORARRAY(Data!D19),0))</f>
        <v>1</v>
      </c>
      <c r="P3" s="51"/>
      <c r="Q3" s="64"/>
      <c r="R3" s="52"/>
      <c r="S3" s="52"/>
    </row>
    <row r="4" spans="1:23" ht="13.35" customHeight="1" x14ac:dyDescent="0.25">
      <c r="A4"/>
      <c r="B4"/>
      <c r="C4"/>
      <c r="D4"/>
      <c r="E4"/>
      <c r="F4"/>
      <c r="G4"/>
      <c r="H4" s="475" t="s">
        <v>94</v>
      </c>
      <c r="I4" s="475"/>
      <c r="J4"/>
      <c r="K4"/>
      <c r="L4"/>
      <c r="M4"/>
      <c r="N4"/>
      <c r="O4"/>
      <c r="P4"/>
    </row>
    <row r="5" spans="1:23" ht="15.75" x14ac:dyDescent="0.25">
      <c r="A5"/>
      <c r="B5" s="55" t="s">
        <v>6</v>
      </c>
      <c r="C5" s="55" t="s">
        <v>29</v>
      </c>
      <c r="D5" s="56" t="s">
        <v>81</v>
      </c>
      <c r="E5" s="57" t="s">
        <v>23</v>
      </c>
      <c r="F5" s="57" t="s">
        <v>30</v>
      </c>
      <c r="G5" s="57" t="s">
        <v>31</v>
      </c>
      <c r="H5" s="58" t="s">
        <v>93</v>
      </c>
      <c r="I5" s="58" t="s">
        <v>92</v>
      </c>
      <c r="J5" s="59" t="s">
        <v>1</v>
      </c>
      <c r="K5" s="59" t="s">
        <v>2</v>
      </c>
      <c r="L5" s="59" t="s">
        <v>3</v>
      </c>
      <c r="M5" s="59" t="s">
        <v>4</v>
      </c>
      <c r="N5" s="59" t="s">
        <v>5</v>
      </c>
      <c r="O5" s="60" t="s">
        <v>11</v>
      </c>
      <c r="P5" s="60"/>
      <c r="Q5" s="65"/>
      <c r="W5" s="53"/>
    </row>
    <row r="6" spans="1:23" ht="15.75" x14ac:dyDescent="0.25">
      <c r="A6"/>
      <c r="B6" s="300" t="str">
        <f ca="1">Data!U4</f>
        <v>STORY 1.1.0</v>
      </c>
      <c r="C6" s="300" t="str">
        <f ca="1">IF(Data!C4&lt;&gt;"",Data!C4,"")</f>
        <v>Gathering Requirements</v>
      </c>
      <c r="D6" s="300"/>
      <c r="E6" s="301">
        <f ca="1">Data!V4</f>
        <v>24</v>
      </c>
      <c r="F6" s="302">
        <f ca="1">Data!D4</f>
        <v>45663</v>
      </c>
      <c r="G6" s="302">
        <f ca="1">Data!E4</f>
        <v>45687</v>
      </c>
      <c r="H6" s="303">
        <f ca="1">IF(tbl_project_summary[[#This Row],[End]]&lt;&gt;"",NETWORKDAYS(TODAY(),tbl_project_summary[[#This Row],[End]]),0)</f>
        <v>-35</v>
      </c>
      <c r="I6" s="304">
        <f ca="1">IF(tbl_project_summary[[#This Row],[Effort]]&gt;0,tbl_project_summary[[#This Row],[Effort]]*(1-tbl_project_summary[[#This Row],[Status]]),0)</f>
        <v>0.47999999999999776</v>
      </c>
      <c r="J6" s="305">
        <f ca="1">Data!F4</f>
        <v>1</v>
      </c>
      <c r="K6" s="306">
        <f ca="1">Data!G4</f>
        <v>1</v>
      </c>
      <c r="L6" s="306">
        <f ca="1">Data!H4</f>
        <v>1</v>
      </c>
      <c r="M6" s="306">
        <f ca="1">Data!I4</f>
        <v>0.95</v>
      </c>
      <c r="N6" s="307">
        <f ca="1">Data!J4</f>
        <v>0.95</v>
      </c>
      <c r="O6" s="308">
        <f ca="1">IF(Data!T4&gt;=0,Data!T4,"")</f>
        <v>0.98000000000000009</v>
      </c>
      <c r="P6" s="17"/>
      <c r="Q6" s="66"/>
    </row>
    <row r="7" spans="1:23" ht="15.75" x14ac:dyDescent="0.25">
      <c r="A7"/>
      <c r="B7" s="300" t="str">
        <f ca="1">Data!U5</f>
        <v>STORY 1.2.0</v>
      </c>
      <c r="C7" s="300" t="str">
        <f ca="1">IF(Data!C5&lt;&gt;"",Data!C5,"")</f>
        <v>Define Requirements</v>
      </c>
      <c r="D7" s="300"/>
      <c r="E7" s="301">
        <f ca="1">Data!V5</f>
        <v>32</v>
      </c>
      <c r="F7" s="302">
        <f ca="1">Data!D5</f>
        <v>45688</v>
      </c>
      <c r="G7" s="302">
        <f ca="1">Data!E5</f>
        <v>45707</v>
      </c>
      <c r="H7" s="303">
        <f ca="1">IF(tbl_project_summary[[#This Row],[End]]&lt;&gt;"",NETWORKDAYS(TODAY(),tbl_project_summary[[#This Row],[End]]),0)</f>
        <v>-21</v>
      </c>
      <c r="I7" s="304">
        <f ca="1">IF(tbl_project_summary[[#This Row],[Effort]]&gt;0,tbl_project_summary[[#This Row],[Effort]]*(1-tbl_project_summary[[#This Row],[Status]]),0)</f>
        <v>6.7200000000000024</v>
      </c>
      <c r="J7" s="309">
        <f ca="1">Data!F5</f>
        <v>0.95</v>
      </c>
      <c r="K7" s="310">
        <f ca="1">Data!G5</f>
        <v>1</v>
      </c>
      <c r="L7" s="310">
        <f ca="1">Data!H5</f>
        <v>0.95</v>
      </c>
      <c r="M7" s="310">
        <f ca="1">Data!I5</f>
        <v>0.95</v>
      </c>
      <c r="N7" s="311">
        <f ca="1">Data!J5</f>
        <v>0.1</v>
      </c>
      <c r="O7" s="308">
        <f ca="1">IF(Data!T5&gt;=0,Data!T5,"")</f>
        <v>0.78999999999999992</v>
      </c>
      <c r="P7" s="17"/>
      <c r="Q7" s="66"/>
    </row>
    <row r="8" spans="1:23" ht="15.75" x14ac:dyDescent="0.25">
      <c r="A8"/>
      <c r="B8" s="300" t="str">
        <f ca="1">Data!U6</f>
        <v>STORY 1.3.0</v>
      </c>
      <c r="C8" s="300" t="str">
        <f ca="1">IF(Data!C6&lt;&gt;"",Data!C6,"")</f>
        <v>System Architecture Design</v>
      </c>
      <c r="D8" s="300"/>
      <c r="E8" s="301">
        <f ca="1">Data!V6</f>
        <v>22</v>
      </c>
      <c r="F8" s="302">
        <f ca="1">Data!D6</f>
        <v>45699</v>
      </c>
      <c r="G8" s="302">
        <f ca="1">Data!E6</f>
        <v>45723</v>
      </c>
      <c r="H8" s="303">
        <f ca="1">IF(tbl_project_summary[[#This Row],[End]]&lt;&gt;"",NETWORKDAYS(TODAY(),tbl_project_summary[[#This Row],[End]]),0)</f>
        <v>-9</v>
      </c>
      <c r="I8" s="304">
        <f ca="1">IF(tbl_project_summary[[#This Row],[Effort]]&gt;0,tbl_project_summary[[#This Row],[Effort]]*(1-tbl_project_summary[[#This Row],[Status]]),0)</f>
        <v>16.72</v>
      </c>
      <c r="J8" s="309">
        <f ca="1">Data!F6</f>
        <v>0.5</v>
      </c>
      <c r="K8" s="310">
        <f ca="1">Data!G6</f>
        <v>0.2</v>
      </c>
      <c r="L8" s="310">
        <f ca="1">Data!H6</f>
        <v>0.2</v>
      </c>
      <c r="M8" s="310">
        <f ca="1">Data!I6</f>
        <v>0.2</v>
      </c>
      <c r="N8" s="311">
        <f ca="1">Data!J6</f>
        <v>0.1</v>
      </c>
      <c r="O8" s="308">
        <f ca="1">IF(Data!T6&gt;=0,Data!T6,"")</f>
        <v>0.24</v>
      </c>
      <c r="P8" s="17"/>
      <c r="Q8" s="66"/>
    </row>
    <row r="9" spans="1:23" ht="15.75" x14ac:dyDescent="0.25">
      <c r="A9"/>
      <c r="B9" s="300" t="str">
        <f ca="1">Data!U7</f>
        <v>STORY 2.1.0</v>
      </c>
      <c r="C9" s="300" t="str">
        <f ca="1">IF(Data!C7&lt;&gt;"",Data!C7,"")</f>
        <v>Design and Plan GUI Development</v>
      </c>
      <c r="D9" s="300"/>
      <c r="E9" s="301">
        <f ca="1">Data!V7</f>
        <v>45</v>
      </c>
      <c r="F9" s="302">
        <f ca="1">Data!D7</f>
        <v>45726</v>
      </c>
      <c r="G9" s="302">
        <f ca="1">Data!E7</f>
        <v>45737</v>
      </c>
      <c r="H9" s="303">
        <f ca="1">IF(tbl_project_summary[[#This Row],[End]]&lt;&gt;"",NETWORKDAYS(TODAY(),tbl_project_summary[[#This Row],[End]]),0)</f>
        <v>3</v>
      </c>
      <c r="I9" s="304">
        <f ca="1">IF(tbl_project_summary[[#This Row],[Effort]]&gt;0,tbl_project_summary[[#This Row],[Effort]]*(1-tbl_project_summary[[#This Row],[Status]]),0)</f>
        <v>44.1</v>
      </c>
      <c r="J9" s="309">
        <f ca="1">Data!F7</f>
        <v>0.1</v>
      </c>
      <c r="K9" s="310">
        <f ca="1">Data!G7</f>
        <v>0</v>
      </c>
      <c r="L9" s="310">
        <f ca="1">Data!H7</f>
        <v>0</v>
      </c>
      <c r="M9" s="310">
        <f ca="1">Data!I7</f>
        <v>0</v>
      </c>
      <c r="N9" s="311">
        <f ca="1">Data!J7</f>
        <v>0</v>
      </c>
      <c r="O9" s="308">
        <f ca="1">IF(Data!T7&gt;=0,Data!T7,"")</f>
        <v>0.02</v>
      </c>
      <c r="P9" s="17"/>
      <c r="Q9" s="66"/>
    </row>
    <row r="10" spans="1:23" ht="15.75" x14ac:dyDescent="0.25">
      <c r="A10"/>
      <c r="B10" s="300" t="str">
        <f ca="1">Data!U8</f>
        <v>STORY 2.2.0</v>
      </c>
      <c r="C10" s="300" t="str">
        <f ca="1">IF(Data!C8&lt;&gt;"",Data!C8,"")</f>
        <v>Design and Plan Server-Side Development</v>
      </c>
      <c r="D10" s="300"/>
      <c r="E10" s="301">
        <f ca="1">Data!V8</f>
        <v>50</v>
      </c>
      <c r="F10" s="302">
        <f ca="1">Data!D8</f>
        <v>45740</v>
      </c>
      <c r="G10" s="302">
        <f ca="1">Data!E8</f>
        <v>45751</v>
      </c>
      <c r="H10" s="303">
        <f ca="1">IF(tbl_project_summary[[#This Row],[End]]&lt;&gt;"",NETWORKDAYS(TODAY(),tbl_project_summary[[#This Row],[End]]),0)</f>
        <v>13</v>
      </c>
      <c r="I10" s="304">
        <f ca="1">IF(tbl_project_summary[[#This Row],[Effort]]&gt;0,tbl_project_summary[[#This Row],[Effort]]*(1-tbl_project_summary[[#This Row],[Status]]),0)</f>
        <v>50</v>
      </c>
      <c r="J10" s="309">
        <f ca="1">Data!F8</f>
        <v>0</v>
      </c>
      <c r="K10" s="310">
        <f ca="1">Data!G8</f>
        <v>0</v>
      </c>
      <c r="L10" s="310">
        <f ca="1">Data!H8</f>
        <v>0</v>
      </c>
      <c r="M10" s="310">
        <f ca="1">Data!I8</f>
        <v>0</v>
      </c>
      <c r="N10" s="311">
        <f ca="1">Data!J8</f>
        <v>0</v>
      </c>
      <c r="O10" s="308">
        <f ca="1">IF(Data!T8&gt;=0,Data!T8,"")</f>
        <v>0</v>
      </c>
      <c r="P10" s="17"/>
      <c r="Q10" s="66"/>
    </row>
    <row r="11" spans="1:23" ht="15.75" x14ac:dyDescent="0.25">
      <c r="A11"/>
      <c r="B11" s="300" t="str">
        <f ca="1">Data!U9</f>
        <v>STORY 2.3.0</v>
      </c>
      <c r="C11" s="300" t="str">
        <f ca="1">IF(Data!C9&lt;&gt;"",Data!C9,"")</f>
        <v>Plan GUI and Server-Side Testing</v>
      </c>
      <c r="D11" s="300"/>
      <c r="E11" s="301">
        <f ca="1">Data!V9</f>
        <v>25</v>
      </c>
      <c r="F11" s="302">
        <f ca="1">Data!D9</f>
        <v>45754</v>
      </c>
      <c r="G11" s="302">
        <f ca="1">Data!E9</f>
        <v>45758</v>
      </c>
      <c r="H11" s="303">
        <f ca="1">IF(tbl_project_summary[[#This Row],[End]]&lt;&gt;"",NETWORKDAYS(TODAY(),tbl_project_summary[[#This Row],[End]]),0)</f>
        <v>18</v>
      </c>
      <c r="I11" s="304">
        <f ca="1">IF(tbl_project_summary[[#This Row],[Effort]]&gt;0,tbl_project_summary[[#This Row],[Effort]]*(1-tbl_project_summary[[#This Row],[Status]]),0)</f>
        <v>25</v>
      </c>
      <c r="J11" s="309">
        <f ca="1">Data!F9</f>
        <v>0</v>
      </c>
      <c r="K11" s="310">
        <f ca="1">Data!G9</f>
        <v>0</v>
      </c>
      <c r="L11" s="310">
        <f ca="1">Data!H9</f>
        <v>0</v>
      </c>
      <c r="M11" s="310">
        <f ca="1">Data!I9</f>
        <v>0</v>
      </c>
      <c r="N11" s="311">
        <f ca="1">Data!J9</f>
        <v>0</v>
      </c>
      <c r="O11" s="308">
        <f ca="1">IF(Data!T9&gt;=0,Data!T9,"")</f>
        <v>0</v>
      </c>
      <c r="P11" s="17"/>
      <c r="Q11" s="66"/>
    </row>
    <row r="12" spans="1:23" ht="15.75" x14ac:dyDescent="0.25">
      <c r="A12"/>
      <c r="B12" s="300" t="str">
        <f ca="1">Data!U10</f>
        <v>STORY 3.1.0</v>
      </c>
      <c r="C12" s="300" t="str">
        <f ca="1">IF(Data!C10&lt;&gt;"",Data!C10,"")</f>
        <v>Development Plan</v>
      </c>
      <c r="D12" s="300"/>
      <c r="E12" s="301">
        <f ca="1">Data!V10</f>
        <v>5</v>
      </c>
      <c r="F12" s="302">
        <f ca="1">Data!D10</f>
        <v>45761</v>
      </c>
      <c r="G12" s="302">
        <f ca="1">Data!E10</f>
        <v>45761</v>
      </c>
      <c r="H12" s="303">
        <f ca="1">IF(tbl_project_summary[[#This Row],[End]]&lt;&gt;"",NETWORKDAYS(TODAY(),tbl_project_summary[[#This Row],[End]]),0)</f>
        <v>19</v>
      </c>
      <c r="I12" s="304">
        <f ca="1">IF(tbl_project_summary[[#This Row],[Effort]]&gt;0,tbl_project_summary[[#This Row],[Effort]]*(1-tbl_project_summary[[#This Row],[Status]]),0)</f>
        <v>5</v>
      </c>
      <c r="J12" s="309">
        <f ca="1">Data!F10</f>
        <v>0</v>
      </c>
      <c r="K12" s="310">
        <f ca="1">Data!G10</f>
        <v>0</v>
      </c>
      <c r="L12" s="310">
        <f ca="1">Data!H10</f>
        <v>0</v>
      </c>
      <c r="M12" s="310">
        <f ca="1">Data!I10</f>
        <v>0</v>
      </c>
      <c r="N12" s="311">
        <f ca="1">Data!J10</f>
        <v>0</v>
      </c>
      <c r="O12" s="308">
        <f ca="1">IF(Data!T10&gt;=0,Data!T10,"")</f>
        <v>0</v>
      </c>
      <c r="P12" s="17"/>
      <c r="Q12" s="66"/>
    </row>
    <row r="13" spans="1:23" ht="15.75" x14ac:dyDescent="0.25">
      <c r="A13"/>
      <c r="B13" s="300" t="str">
        <f ca="1">Data!U11</f>
        <v>STORY 4.1.0</v>
      </c>
      <c r="C13" s="300" t="str">
        <f ca="1">IF(Data!C11&lt;&gt;"",Data!C11,"")</f>
        <v>Phase 1 Development</v>
      </c>
      <c r="D13" s="300"/>
      <c r="E13" s="301">
        <f ca="1">Data!V11</f>
        <v>35</v>
      </c>
      <c r="F13" s="302">
        <f ca="1">Data!D11</f>
        <v>45761</v>
      </c>
      <c r="G13" s="302">
        <f ca="1">Data!E11</f>
        <v>45777</v>
      </c>
      <c r="H13" s="303">
        <f ca="1">IF(tbl_project_summary[[#This Row],[End]]&lt;&gt;"",NETWORKDAYS(TODAY(),tbl_project_summary[[#This Row],[End]]),0)</f>
        <v>31</v>
      </c>
      <c r="I13" s="304">
        <f ca="1">IF(tbl_project_summary[[#This Row],[Effort]]&gt;0,tbl_project_summary[[#This Row],[Effort]]*(1-tbl_project_summary[[#This Row],[Status]]),0)</f>
        <v>35</v>
      </c>
      <c r="J13" s="309">
        <f ca="1">Data!F11</f>
        <v>0</v>
      </c>
      <c r="K13" s="310">
        <f ca="1">Data!G11</f>
        <v>0</v>
      </c>
      <c r="L13" s="310">
        <f ca="1">Data!H11</f>
        <v>0</v>
      </c>
      <c r="M13" s="310">
        <f ca="1">Data!I11</f>
        <v>0</v>
      </c>
      <c r="N13" s="311" t="str">
        <f ca="1">Data!J11</f>
        <v>N/A</v>
      </c>
      <c r="O13" s="308">
        <f ca="1">IF(Data!T11&gt;=0,Data!T11,"")</f>
        <v>0</v>
      </c>
      <c r="P13" s="17"/>
      <c r="Q13" s="66"/>
    </row>
    <row r="14" spans="1:23" ht="15.75" x14ac:dyDescent="0.25">
      <c r="A14"/>
      <c r="B14" s="300" t="str">
        <f ca="1">Data!U12</f>
        <v>STORY 4.2.0</v>
      </c>
      <c r="C14" s="300" t="str">
        <f ca="1">IF(Data!C12&lt;&gt;"",Data!C12,"")</f>
        <v>Phase 2 Deployment - UAT</v>
      </c>
      <c r="D14" s="300"/>
      <c r="E14" s="301">
        <f ca="1">Data!V12</f>
        <v>17</v>
      </c>
      <c r="F14" s="302">
        <f ca="1">Data!D12</f>
        <v>45762</v>
      </c>
      <c r="G14" s="302">
        <f ca="1">Data!E12</f>
        <v>45770</v>
      </c>
      <c r="H14" s="303">
        <f ca="1">IF(tbl_project_summary[[#This Row],[End]]&lt;&gt;"",NETWORKDAYS(TODAY(),tbl_project_summary[[#This Row],[End]]),0)</f>
        <v>26</v>
      </c>
      <c r="I14" s="304">
        <f ca="1">IF(tbl_project_summary[[#This Row],[Effort]]&gt;0,tbl_project_summary[[#This Row],[Effort]]*(1-tbl_project_summary[[#This Row],[Status]]),0)</f>
        <v>17</v>
      </c>
      <c r="J14" s="309">
        <f ca="1">Data!F12</f>
        <v>0</v>
      </c>
      <c r="K14" s="310">
        <f ca="1">Data!G12</f>
        <v>0</v>
      </c>
      <c r="L14" s="310">
        <f ca="1">Data!H12</f>
        <v>0</v>
      </c>
      <c r="M14" s="310">
        <f ca="1">Data!I12</f>
        <v>0</v>
      </c>
      <c r="N14" s="311">
        <f ca="1">Data!J12</f>
        <v>0</v>
      </c>
      <c r="O14" s="308">
        <f ca="1">IF(Data!T12&gt;=0,Data!T12,"")</f>
        <v>0</v>
      </c>
      <c r="P14" s="17"/>
      <c r="Q14" s="66"/>
    </row>
    <row r="15" spans="1:23" ht="15.75" x14ac:dyDescent="0.25">
      <c r="A15"/>
      <c r="B15" s="300" t="str">
        <f ca="1">Data!U13</f>
        <v>STORY 4.3.0</v>
      </c>
      <c r="C15" s="300" t="str">
        <f ca="1">IF(Data!C13&lt;&gt;"",Data!C13,"")</f>
        <v>Phase 3 Deployment  - PROD</v>
      </c>
      <c r="D15" s="300"/>
      <c r="E15" s="301">
        <f ca="1">Data!V13</f>
        <v>8</v>
      </c>
      <c r="F15" s="302">
        <f ca="1">Data!D13</f>
        <v>45769</v>
      </c>
      <c r="G15" s="302">
        <f ca="1">Data!E13</f>
        <v>45771</v>
      </c>
      <c r="H15" s="303">
        <f ca="1">IF(tbl_project_summary[[#This Row],[End]]&lt;&gt;"",NETWORKDAYS(TODAY(),tbl_project_summary[[#This Row],[End]]),0)</f>
        <v>27</v>
      </c>
      <c r="I15" s="304">
        <f ca="1">IF(tbl_project_summary[[#This Row],[Effort]]&gt;0,tbl_project_summary[[#This Row],[Effort]]*(1-tbl_project_summary[[#This Row],[Status]]),0)</f>
        <v>8</v>
      </c>
      <c r="J15" s="309">
        <f ca="1">Data!F13</f>
        <v>0</v>
      </c>
      <c r="K15" s="310">
        <f ca="1">Data!G13</f>
        <v>0</v>
      </c>
      <c r="L15" s="310">
        <f ca="1">Data!H13</f>
        <v>0</v>
      </c>
      <c r="M15" s="310">
        <f ca="1">Data!I13</f>
        <v>0</v>
      </c>
      <c r="N15" s="311">
        <f ca="1">Data!J13</f>
        <v>0</v>
      </c>
      <c r="O15" s="308">
        <f ca="1">IF(Data!T13&gt;=0,Data!T13,"")</f>
        <v>0</v>
      </c>
      <c r="P15" s="17"/>
      <c r="Q15" s="66"/>
    </row>
    <row r="16" spans="1:23" ht="15.75" x14ac:dyDescent="0.25">
      <c r="A16"/>
      <c r="B16" s="300" t="str">
        <f ca="1">Data!U14</f>
        <v>STORY 5.1.0</v>
      </c>
      <c r="C16" s="300" t="str">
        <f ca="1">IF(Data!C14&lt;&gt;"",Data!C14,"")</f>
        <v>Finalise Plan for Production</v>
      </c>
      <c r="D16" s="300"/>
      <c r="E16" s="301">
        <f ca="1">Data!V14</f>
        <v>20</v>
      </c>
      <c r="F16" s="302">
        <f ca="1">Data!D14</f>
        <v>45769</v>
      </c>
      <c r="G16" s="302">
        <f ca="1">Data!E14</f>
        <v>45785</v>
      </c>
      <c r="H16" s="303">
        <f ca="1">IF(tbl_project_summary[[#This Row],[End]]&lt;&gt;"",NETWORKDAYS(TODAY(),tbl_project_summary[[#This Row],[End]]),0)</f>
        <v>37</v>
      </c>
      <c r="I16" s="304">
        <f ca="1">IF(tbl_project_summary[[#This Row],[Effort]]&gt;0,tbl_project_summary[[#This Row],[Effort]]*(1-tbl_project_summary[[#This Row],[Status]]),0)</f>
        <v>20</v>
      </c>
      <c r="J16" s="309">
        <f ca="1">Data!F14</f>
        <v>0</v>
      </c>
      <c r="K16" s="310">
        <f ca="1">Data!G14</f>
        <v>0</v>
      </c>
      <c r="L16" s="310">
        <f ca="1">Data!H14</f>
        <v>0</v>
      </c>
      <c r="M16" s="310">
        <f ca="1">Data!I14</f>
        <v>0</v>
      </c>
      <c r="N16" s="311" t="str">
        <f ca="1">Data!J14</f>
        <v>N/A</v>
      </c>
      <c r="O16" s="308">
        <f ca="1">IF(Data!T14&gt;=0,Data!T14,"")</f>
        <v>0</v>
      </c>
      <c r="P16" s="17"/>
      <c r="Q16" s="66"/>
    </row>
    <row r="17" spans="1:17" ht="15.75" x14ac:dyDescent="0.25">
      <c r="A17"/>
      <c r="B17" s="300" t="str">
        <f ca="1">Data!U15</f>
        <v>STORY 6.1.0</v>
      </c>
      <c r="C17" s="300" t="str">
        <f ca="1">IF(Data!C15&lt;&gt;"",Data!C15,"")</f>
        <v>None</v>
      </c>
      <c r="D17" s="300"/>
      <c r="E17" s="301">
        <f ca="1">Data!V15</f>
        <v>0</v>
      </c>
      <c r="F17" s="302" t="str">
        <f ca="1">Data!D15</f>
        <v/>
      </c>
      <c r="G17" s="302" t="str">
        <f ca="1">Data!E15</f>
        <v/>
      </c>
      <c r="H17" s="303">
        <f ca="1">IF(tbl_project_summary[[#This Row],[End]]&lt;&gt;"",NETWORKDAYS(TODAY(),tbl_project_summary[[#This Row],[End]]),0)</f>
        <v>0</v>
      </c>
      <c r="I17" s="304">
        <f ca="1">IF(tbl_project_summary[[#This Row],[Effort]]&gt;0,tbl_project_summary[[#This Row],[Effort]]*(1-tbl_project_summary[[#This Row],[Status]]),0)</f>
        <v>0</v>
      </c>
      <c r="J17" s="309" t="str">
        <f ca="1">Data!F15</f>
        <v>N/A</v>
      </c>
      <c r="K17" s="310" t="str">
        <f ca="1">Data!G15</f>
        <v>N/A</v>
      </c>
      <c r="L17" s="310" t="str">
        <f ca="1">Data!H15</f>
        <v>N/A</v>
      </c>
      <c r="M17" s="310" t="str">
        <f ca="1">Data!I15</f>
        <v>N/A</v>
      </c>
      <c r="N17" s="311" t="str">
        <f ca="1">Data!J15</f>
        <v>N/A</v>
      </c>
      <c r="O17" s="308" t="str">
        <f ca="1">IF(Data!T15&gt;=0,Data!T15,"")</f>
        <v/>
      </c>
      <c r="P17" s="17"/>
      <c r="Q17" s="66"/>
    </row>
    <row r="18" spans="1:17" ht="15.75" x14ac:dyDescent="0.25">
      <c r="A18"/>
      <c r="B18" s="300" t="str">
        <f ca="1">Data!U16</f>
        <v>STORY 6.2.0</v>
      </c>
      <c r="C18" s="300" t="str">
        <f ca="1">IF(Data!C16&lt;&gt;"",Data!C16,"")</f>
        <v>None</v>
      </c>
      <c r="D18" s="300"/>
      <c r="E18" s="301">
        <f ca="1">Data!V16</f>
        <v>0</v>
      </c>
      <c r="F18" s="302" t="str">
        <f ca="1">Data!D16</f>
        <v/>
      </c>
      <c r="G18" s="302" t="str">
        <f ca="1">Data!E16</f>
        <v/>
      </c>
      <c r="H18" s="303">
        <f ca="1">IF(tbl_project_summary[[#This Row],[End]]&lt;&gt;"",NETWORKDAYS(TODAY(),tbl_project_summary[[#This Row],[End]]),0)</f>
        <v>0</v>
      </c>
      <c r="I18" s="304">
        <f ca="1">IF(tbl_project_summary[[#This Row],[Effort]]&gt;0,tbl_project_summary[[#This Row],[Effort]]*(1-tbl_project_summary[[#This Row],[Status]]),0)</f>
        <v>0</v>
      </c>
      <c r="J18" s="312" t="str">
        <f ca="1">Data!F16</f>
        <v>N/A</v>
      </c>
      <c r="K18" s="313" t="str">
        <f ca="1">Data!G16</f>
        <v>N/A</v>
      </c>
      <c r="L18" s="313" t="str">
        <f ca="1">Data!H16</f>
        <v>N/A</v>
      </c>
      <c r="M18" s="313" t="str">
        <f ca="1">Data!I16</f>
        <v>N/A</v>
      </c>
      <c r="N18" s="314" t="str">
        <f ca="1">Data!J16</f>
        <v>N/A</v>
      </c>
      <c r="O18" s="308" t="str">
        <f ca="1">IF(Data!T16&gt;=0,Data!T16,"")</f>
        <v/>
      </c>
      <c r="P18" s="17"/>
      <c r="Q18" s="66"/>
    </row>
    <row r="19" spans="1:17" ht="15.75" x14ac:dyDescent="0.25">
      <c r="A19"/>
      <c r="B19" s="14"/>
      <c r="C19" s="95" t="s">
        <v>33</v>
      </c>
      <c r="D19" s="18"/>
      <c r="E19" s="18"/>
      <c r="F19" s="13"/>
      <c r="G19" s="13"/>
      <c r="H19" s="13"/>
      <c r="I19" s="13"/>
      <c r="J19" s="14"/>
      <c r="K19" s="14"/>
      <c r="L19" s="14"/>
      <c r="M19" s="14"/>
      <c r="N19" s="14"/>
      <c r="O19" s="61">
        <f ca="1">IF(SUBTOTAL(103, tbl_project_summary[Status]) &gt; 0, SUBTOTAL(109, tbl_project_summary[Status]) / COUNTIFS(tbl_project_summary[Status], "&lt;&gt;N/A", tbl_project_summary[Status], "&lt;&gt;", tbl_project_summary[Status], "&gt;=0%", tbl_project_summary[Status], "&lt;=100%"), 0)</f>
        <v>0.18454545454545454</v>
      </c>
      <c r="P19" s="68"/>
      <c r="Q19" s="67"/>
    </row>
    <row r="20" spans="1:17" x14ac:dyDescent="0.25">
      <c r="A20"/>
      <c r="B20"/>
      <c r="C20"/>
      <c r="D20"/>
      <c r="E20"/>
      <c r="F20"/>
      <c r="G20"/>
      <c r="H20"/>
      <c r="I20"/>
      <c r="J20"/>
      <c r="K20"/>
      <c r="L20"/>
      <c r="M20"/>
      <c r="N20"/>
      <c r="O20"/>
      <c r="P20"/>
    </row>
    <row r="21" spans="1:17" x14ac:dyDescent="0.25">
      <c r="A21"/>
      <c r="B21"/>
      <c r="C21"/>
      <c r="D21"/>
      <c r="E21"/>
      <c r="F21"/>
      <c r="G21"/>
      <c r="H21"/>
      <c r="I21"/>
      <c r="J21"/>
      <c r="K21"/>
      <c r="L21"/>
      <c r="M21"/>
      <c r="N21"/>
      <c r="O21"/>
      <c r="P21"/>
    </row>
    <row r="22" spans="1:17" x14ac:dyDescent="0.25">
      <c r="A22"/>
      <c r="B22"/>
      <c r="C22"/>
      <c r="D22"/>
      <c r="E22"/>
      <c r="F22"/>
      <c r="G22"/>
      <c r="H22"/>
      <c r="I22"/>
      <c r="J22"/>
      <c r="K22"/>
      <c r="L22"/>
      <c r="M22"/>
      <c r="N22"/>
      <c r="O22"/>
      <c r="P22"/>
    </row>
    <row r="23" spans="1:17" x14ac:dyDescent="0.25">
      <c r="A23"/>
      <c r="B23"/>
      <c r="C23"/>
      <c r="D23"/>
      <c r="E23"/>
      <c r="F23"/>
      <c r="G23"/>
      <c r="H23"/>
      <c r="I23"/>
      <c r="J23"/>
      <c r="K23"/>
      <c r="L23"/>
      <c r="M23"/>
      <c r="N23"/>
      <c r="O23"/>
      <c r="P23"/>
    </row>
    <row r="24" spans="1:17" x14ac:dyDescent="0.25">
      <c r="A24"/>
      <c r="B24"/>
      <c r="C24"/>
      <c r="D24"/>
      <c r="E24"/>
      <c r="F24"/>
      <c r="G24"/>
      <c r="H24"/>
      <c r="I24"/>
      <c r="J24"/>
      <c r="K24"/>
      <c r="L24"/>
      <c r="M24"/>
      <c r="N24"/>
      <c r="O24"/>
      <c r="P24"/>
    </row>
    <row r="25" spans="1:17" x14ac:dyDescent="0.25">
      <c r="A25"/>
      <c r="B25"/>
      <c r="C25"/>
      <c r="D25"/>
      <c r="E25"/>
      <c r="F25"/>
      <c r="G25"/>
      <c r="H25"/>
      <c r="I25"/>
      <c r="J25"/>
      <c r="K25"/>
      <c r="L25"/>
      <c r="M25"/>
      <c r="N25"/>
      <c r="O25"/>
      <c r="P25"/>
    </row>
    <row r="26" spans="1:17" x14ac:dyDescent="0.25">
      <c r="A26"/>
      <c r="B26"/>
      <c r="C26"/>
      <c r="D26"/>
      <c r="E26"/>
      <c r="F26"/>
      <c r="G26"/>
      <c r="H26"/>
      <c r="I26"/>
      <c r="J26"/>
      <c r="K26"/>
      <c r="L26"/>
      <c r="M26"/>
      <c r="N26"/>
      <c r="O26"/>
      <c r="P26"/>
    </row>
    <row r="27" spans="1:17" x14ac:dyDescent="0.25">
      <c r="A27"/>
      <c r="B27"/>
      <c r="C27"/>
      <c r="D27"/>
      <c r="E27"/>
      <c r="F27"/>
      <c r="G27"/>
      <c r="H27"/>
      <c r="I27"/>
      <c r="J27"/>
      <c r="K27"/>
      <c r="L27"/>
      <c r="M27"/>
      <c r="N27"/>
      <c r="O27"/>
      <c r="P27"/>
    </row>
    <row r="28" spans="1:17" x14ac:dyDescent="0.25">
      <c r="A28"/>
      <c r="B28"/>
      <c r="C28"/>
      <c r="D28"/>
      <c r="E28"/>
      <c r="F28"/>
      <c r="G28"/>
      <c r="H28"/>
      <c r="I28"/>
      <c r="J28"/>
      <c r="K28"/>
      <c r="L28"/>
      <c r="M28"/>
      <c r="N28"/>
      <c r="O28"/>
      <c r="P28"/>
    </row>
    <row r="29" spans="1:17" x14ac:dyDescent="0.25">
      <c r="A29"/>
      <c r="B29"/>
      <c r="C29"/>
      <c r="D29"/>
      <c r="E29"/>
      <c r="F29"/>
      <c r="G29"/>
      <c r="H29"/>
      <c r="I29"/>
      <c r="J29"/>
      <c r="K29"/>
      <c r="L29"/>
      <c r="M29"/>
      <c r="N29"/>
      <c r="O29"/>
      <c r="P29"/>
    </row>
    <row r="30" spans="1:17" x14ac:dyDescent="0.25">
      <c r="A30"/>
      <c r="B30"/>
      <c r="C30"/>
      <c r="D30"/>
      <c r="E30"/>
      <c r="F30"/>
      <c r="G30"/>
      <c r="H30"/>
      <c r="I30"/>
      <c r="J30"/>
      <c r="K30"/>
      <c r="L30"/>
      <c r="M30"/>
      <c r="N30"/>
      <c r="O30"/>
      <c r="P30"/>
    </row>
    <row r="31" spans="1:17" x14ac:dyDescent="0.25">
      <c r="A31"/>
      <c r="B31"/>
      <c r="C31"/>
      <c r="D31"/>
      <c r="E31"/>
      <c r="F31"/>
      <c r="G31"/>
      <c r="H31"/>
      <c r="I31"/>
      <c r="J31"/>
      <c r="K31"/>
      <c r="L31"/>
      <c r="M31"/>
      <c r="N31"/>
      <c r="O31"/>
      <c r="P31"/>
    </row>
    <row r="32" spans="1:17" x14ac:dyDescent="0.25">
      <c r="I32" s="62"/>
    </row>
    <row r="34" spans="2:11" ht="18.75" x14ac:dyDescent="0.3">
      <c r="C34" s="243" t="s">
        <v>406</v>
      </c>
      <c r="F34" s="246" t="s">
        <v>407</v>
      </c>
      <c r="G34" s="246" t="s">
        <v>368</v>
      </c>
      <c r="H34" s="474" t="s">
        <v>424</v>
      </c>
      <c r="I34" s="474"/>
      <c r="J34" s="474"/>
      <c r="K34" s="474"/>
    </row>
    <row r="35" spans="2:11" ht="15.75" x14ac:dyDescent="0.25">
      <c r="C35" s="248" t="s">
        <v>403</v>
      </c>
      <c r="F35" s="316">
        <f>SUM(tbl_AssignRole[E_Cost])</f>
        <v>7508.5</v>
      </c>
      <c r="G35" s="316">
        <f>SUM(tbl_AssignRole[A_Cost])</f>
        <v>7578.5</v>
      </c>
      <c r="H35" s="316">
        <f>SUM(H38:H59)</f>
        <v>1594</v>
      </c>
      <c r="I35" s="316">
        <f>SUM(I38:I59)</f>
        <v>1636</v>
      </c>
      <c r="J35" s="316">
        <f>SUM(J38:J59)</f>
        <v>42</v>
      </c>
      <c r="K35" s="317">
        <f>IFERROR(IF(OR(J35&lt;0,J35&gt;0),J35/H35,0),"")</f>
        <v>2.6348808030112924E-2</v>
      </c>
    </row>
    <row r="36" spans="2:11" x14ac:dyDescent="0.25">
      <c r="F36" s="318"/>
      <c r="G36" s="318"/>
      <c r="H36" s="318"/>
      <c r="I36" s="318"/>
      <c r="J36" s="318"/>
      <c r="K36" s="318"/>
    </row>
    <row r="37" spans="2:11" ht="18.75" x14ac:dyDescent="0.3">
      <c r="C37" s="243" t="s">
        <v>408</v>
      </c>
      <c r="F37" s="319" t="s">
        <v>407</v>
      </c>
      <c r="G37" s="319" t="s">
        <v>368</v>
      </c>
      <c r="H37" s="319" t="s">
        <v>407</v>
      </c>
      <c r="I37" s="319" t="s">
        <v>368</v>
      </c>
      <c r="J37" s="319" t="s">
        <v>413</v>
      </c>
      <c r="K37" s="319" t="s">
        <v>414</v>
      </c>
    </row>
    <row r="38" spans="2:11" ht="15.75" x14ac:dyDescent="0.25">
      <c r="B38" s="151"/>
      <c r="C38" s="315" t="str" cm="1">
        <f t="array" ref="C38:C52">_xlfn._xlws.SORT(_xlfn.UNIQUE(tbl_staff_list[Role],FALSE,FALSE))</f>
        <v>Architect</v>
      </c>
      <c r="F38" s="320">
        <f>IF(C38&lt;&gt;"",SUMIF(tbl_AssignRole[Role],ProjectSummary!C38,tbl_AssignRole[E_Cost]),"")</f>
        <v>660</v>
      </c>
      <c r="G38" s="320">
        <f>IF(C38&lt;&gt;"",SUMIF(tbl_AssignRole[Role],ProjectSummary!C38,tbl_AssignRole[A_Cost]),"")</f>
        <v>720</v>
      </c>
      <c r="H38" s="320" cm="1">
        <f t="array" ref="H38">IF(C38&lt;&gt;"",SUMPRODUCT((tbl_AssignRole[Role]=C38)*(tbl_AssignRole[Done]&gt;=90%)*tbl_AssignRole[E_Cost]),"")</f>
        <v>0</v>
      </c>
      <c r="I38" s="320" cm="1">
        <f t="array" ref="I38">IF(C38&lt;&gt;"",SUMPRODUCT((tbl_AssignRole[Role]=C38)*(tbl_AssignRole[Done]&gt;=90%)*tbl_AssignRole[A_Cost]),"")</f>
        <v>0</v>
      </c>
      <c r="J38" s="321">
        <f>IF(I38&lt;&gt;"",I38-H38,"")</f>
        <v>0</v>
      </c>
      <c r="K38" s="322">
        <f>IFERROR(IF(OR(J38&lt;0,J38&gt;0),J38/H38,0),"")</f>
        <v>0</v>
      </c>
    </row>
    <row r="39" spans="2:11" ht="15.75" x14ac:dyDescent="0.25">
      <c r="B39" s="151"/>
      <c r="C39" s="248" t="str">
        <v>Business Analyst</v>
      </c>
      <c r="F39" s="320">
        <f>IF(C39&lt;&gt;"",SUMIF(tbl_AssignRole[Role],ProjectSummary!C39,tbl_AssignRole[E_Cost]),"")</f>
        <v>1231</v>
      </c>
      <c r="G39" s="320">
        <f>IF(C39&lt;&gt;"",SUMIF(tbl_AssignRole[Role],ProjectSummary!C39,tbl_AssignRole[A_Cost]),"")</f>
        <v>1100</v>
      </c>
      <c r="H39" s="320" cm="1">
        <f t="array" ref="H39">IF(C39&lt;&gt;"",SUMPRODUCT((tbl_AssignRole[Role]=C39)*(tbl_AssignRole[Done]&gt;=90%)*tbl_AssignRole[E_Cost]),"")</f>
        <v>847</v>
      </c>
      <c r="I39" s="320" cm="1">
        <f t="array" ref="I39">IF(C39&lt;&gt;"",SUMPRODUCT((tbl_AssignRole[Role]=C39)*(tbl_AssignRole[Done]&gt;=90%)*tbl_AssignRole[A_Cost]),"")</f>
        <v>716</v>
      </c>
      <c r="J39" s="321">
        <f t="shared" ref="J39:J49" si="0">IF(I39&lt;&gt;"",I39-H39,"")</f>
        <v>-131</v>
      </c>
      <c r="K39" s="322">
        <f t="shared" ref="K39:K49" si="1">IFERROR(IF(OR(J39&lt;0,J39&gt;0),J39/H39,0),"")</f>
        <v>-0.15466351829988192</v>
      </c>
    </row>
    <row r="40" spans="2:11" ht="15.75" x14ac:dyDescent="0.25">
      <c r="B40" s="151"/>
      <c r="C40" s="248" t="str">
        <v>Database Developer</v>
      </c>
      <c r="F40" s="320">
        <f>IF(C40&lt;&gt;"",SUMIF(tbl_AssignRole[Role],ProjectSummary!C40,tbl_AssignRole[E_Cost]),"")</f>
        <v>825</v>
      </c>
      <c r="G40" s="320">
        <f>IF(C40&lt;&gt;"",SUMIF(tbl_AssignRole[Role],ProjectSummary!C40,tbl_AssignRole[A_Cost]),"")</f>
        <v>875</v>
      </c>
      <c r="H40" s="320" cm="1">
        <f t="array" ref="H40">IF(C40&lt;&gt;"",SUMPRODUCT((tbl_AssignRole[Role]=C40)*(tbl_AssignRole[Done]&gt;=90%)*tbl_AssignRole[E_Cost]),"")</f>
        <v>125</v>
      </c>
      <c r="I40" s="320" cm="1">
        <f t="array" ref="I40">IF(C40&lt;&gt;"",SUMPRODUCT((tbl_AssignRole[Role]=C40)*(tbl_AssignRole[Done]&gt;=90%)*tbl_AssignRole[A_Cost]),"")</f>
        <v>175</v>
      </c>
      <c r="J40" s="321">
        <f t="shared" si="0"/>
        <v>50</v>
      </c>
      <c r="K40" s="322">
        <f t="shared" si="1"/>
        <v>0.4</v>
      </c>
    </row>
    <row r="41" spans="2:11" ht="15.75" x14ac:dyDescent="0.25">
      <c r="B41" s="151"/>
      <c r="C41" s="248" t="str">
        <v>DevOps Engineer</v>
      </c>
      <c r="F41" s="320">
        <f>IF(C41&lt;&gt;"",SUMIF(tbl_AssignRole[Role],ProjectSummary!C41,tbl_AssignRole[E_Cost]),"")</f>
        <v>200</v>
      </c>
      <c r="G41" s="320">
        <f>IF(C41&lt;&gt;"",SUMIF(tbl_AssignRole[Role],ProjectSummary!C41,tbl_AssignRole[A_Cost]),"")</f>
        <v>200</v>
      </c>
      <c r="H41" s="320" cm="1">
        <f t="array" ref="H41">IF(C41&lt;&gt;"",SUMPRODUCT((tbl_AssignRole[Role]=C41)*(tbl_AssignRole[Done]&gt;=90%)*tbl_AssignRole[E_Cost]),"")</f>
        <v>0</v>
      </c>
      <c r="I41" s="320" cm="1">
        <f t="array" ref="I41">IF(C41&lt;&gt;"",SUMPRODUCT((tbl_AssignRole[Role]=C41)*(tbl_AssignRole[Done]&gt;=90%)*tbl_AssignRole[A_Cost]),"")</f>
        <v>0</v>
      </c>
      <c r="J41" s="321">
        <f t="shared" si="0"/>
        <v>0</v>
      </c>
      <c r="K41" s="322">
        <f t="shared" si="1"/>
        <v>0</v>
      </c>
    </row>
    <row r="42" spans="2:11" ht="15.75" x14ac:dyDescent="0.25">
      <c r="B42" s="151"/>
      <c r="C42" s="248" t="str">
        <v>Frontend Developer</v>
      </c>
      <c r="D42" s="153"/>
      <c r="E42" s="151"/>
      <c r="F42" s="320">
        <f>IF(C42&lt;&gt;"",SUMIF(tbl_AssignRole[Role],ProjectSummary!C42,tbl_AssignRole[E_Cost]),"")</f>
        <v>135</v>
      </c>
      <c r="G42" s="320">
        <f>IF(C42&lt;&gt;"",SUMIF(tbl_AssignRole[Role],ProjectSummary!C42,tbl_AssignRole[A_Cost]),"")</f>
        <v>135</v>
      </c>
      <c r="H42" s="320" cm="1">
        <f t="array" ref="H42">IF(C42&lt;&gt;"",SUMPRODUCT((tbl_AssignRole[Role]=C42)*(tbl_AssignRole[Done]&gt;=90%)*tbl_AssignRole[E_Cost]),"")</f>
        <v>0</v>
      </c>
      <c r="I42" s="320" cm="1">
        <f t="array" ref="I42">IF(C42&lt;&gt;"",SUMPRODUCT((tbl_AssignRole[Role]=C42)*(tbl_AssignRole[Done]&gt;=90%)*tbl_AssignRole[A_Cost]),"")</f>
        <v>0</v>
      </c>
      <c r="J42" s="321">
        <f t="shared" si="0"/>
        <v>0</v>
      </c>
      <c r="K42" s="322">
        <f t="shared" si="1"/>
        <v>0</v>
      </c>
    </row>
    <row r="43" spans="2:11" ht="15.75" x14ac:dyDescent="0.25">
      <c r="B43" s="151"/>
      <c r="C43" s="248" t="str">
        <v>Infrastructure Team</v>
      </c>
      <c r="D43" s="153"/>
      <c r="E43" s="151"/>
      <c r="F43" s="320">
        <f>IF(C43&lt;&gt;"",SUMIF(tbl_AssignRole[Role],ProjectSummary!C43,tbl_AssignRole[E_Cost]),"")</f>
        <v>0</v>
      </c>
      <c r="G43" s="320">
        <f>IF(C43&lt;&gt;"",SUMIF(tbl_AssignRole[Role],ProjectSummary!C43,tbl_AssignRole[A_Cost]),"")</f>
        <v>0</v>
      </c>
      <c r="H43" s="320" cm="1">
        <f t="array" ref="H43">IF(C43&lt;&gt;"",SUMPRODUCT((tbl_AssignRole[Role]=C43)*(tbl_AssignRole[Done]&gt;=90%)*tbl_AssignRole[E_Cost]),"")</f>
        <v>0</v>
      </c>
      <c r="I43" s="320" cm="1">
        <f t="array" ref="I43">IF(C43&lt;&gt;"",SUMPRODUCT((tbl_AssignRole[Role]=C43)*(tbl_AssignRole[Done]&gt;=90%)*tbl_AssignRole[A_Cost]),"")</f>
        <v>0</v>
      </c>
      <c r="J43" s="321">
        <f t="shared" si="0"/>
        <v>0</v>
      </c>
      <c r="K43" s="322">
        <f t="shared" si="1"/>
        <v>0</v>
      </c>
    </row>
    <row r="44" spans="2:11" ht="15.75" x14ac:dyDescent="0.25">
      <c r="B44" s="151"/>
      <c r="C44" s="248" t="str">
        <v>IT Support/Helpdesk</v>
      </c>
      <c r="D44" s="153"/>
      <c r="E44" s="151"/>
      <c r="F44" s="320">
        <f>IF(C44&lt;&gt;"",SUMIF(tbl_AssignRole[Role],ProjectSummary!C44,tbl_AssignRole[E_Cost]),"")</f>
        <v>75</v>
      </c>
      <c r="G44" s="320">
        <f>IF(C44&lt;&gt;"",SUMIF(tbl_AssignRole[Role],ProjectSummary!C44,tbl_AssignRole[A_Cost]),"")</f>
        <v>75</v>
      </c>
      <c r="H44" s="320" cm="1">
        <f t="array" ref="H44">IF(C44&lt;&gt;"",SUMPRODUCT((tbl_AssignRole[Role]=C44)*(tbl_AssignRole[Done]&gt;=90%)*tbl_AssignRole[E_Cost]),"")</f>
        <v>0</v>
      </c>
      <c r="I44" s="320" cm="1">
        <f t="array" ref="I44">IF(C44&lt;&gt;"",SUMPRODUCT((tbl_AssignRole[Role]=C44)*(tbl_AssignRole[Done]&gt;=90%)*tbl_AssignRole[A_Cost]),"")</f>
        <v>0</v>
      </c>
      <c r="J44" s="321">
        <f t="shared" si="0"/>
        <v>0</v>
      </c>
      <c r="K44" s="322">
        <f t="shared" si="1"/>
        <v>0</v>
      </c>
    </row>
    <row r="45" spans="2:11" ht="15.75" x14ac:dyDescent="0.25">
      <c r="B45" s="151"/>
      <c r="C45" s="248" t="str">
        <v>Performance Lead</v>
      </c>
      <c r="D45" s="153"/>
      <c r="E45" s="151"/>
      <c r="F45" s="320">
        <f>IF(C45&lt;&gt;"",SUMIF(tbl_AssignRole[Role],ProjectSummary!C45,tbl_AssignRole[E_Cost]),"")</f>
        <v>480</v>
      </c>
      <c r="G45" s="320">
        <f>IF(C45&lt;&gt;"",SUMIF(tbl_AssignRole[Role],ProjectSummary!C45,tbl_AssignRole[A_Cost]),"")</f>
        <v>480</v>
      </c>
      <c r="H45" s="320" cm="1">
        <f t="array" ref="H45">IF(C45&lt;&gt;"",SUMPRODUCT((tbl_AssignRole[Role]=C45)*(tbl_AssignRole[Done]&gt;=90%)*tbl_AssignRole[E_Cost]),"")</f>
        <v>0</v>
      </c>
      <c r="I45" s="320" cm="1">
        <f t="array" ref="I45">IF(C45&lt;&gt;"",SUMPRODUCT((tbl_AssignRole[Role]=C45)*(tbl_AssignRole[Done]&gt;=90%)*tbl_AssignRole[A_Cost]),"")</f>
        <v>0</v>
      </c>
      <c r="J45" s="321">
        <f t="shared" si="0"/>
        <v>0</v>
      </c>
      <c r="K45" s="322">
        <f t="shared" si="1"/>
        <v>0</v>
      </c>
    </row>
    <row r="46" spans="2:11" ht="15.75" x14ac:dyDescent="0.25">
      <c r="B46" s="151"/>
      <c r="C46" s="248" t="str">
        <v>Product Owner</v>
      </c>
      <c r="D46" s="153"/>
      <c r="E46" s="151"/>
      <c r="F46" s="320">
        <f>IF(C46&lt;&gt;"",SUMIF(tbl_AssignRole[Role],ProjectSummary!C46,tbl_AssignRole[E_Cost]),"")</f>
        <v>1504</v>
      </c>
      <c r="G46" s="320">
        <f>IF(C46&lt;&gt;"",SUMIF(tbl_AssignRole[Role],ProjectSummary!C46,tbl_AssignRole[A_Cost]),"")</f>
        <v>1568</v>
      </c>
      <c r="H46" s="320" cm="1">
        <f t="array" ref="H46">IF(C46&lt;&gt;"",SUMPRODUCT((tbl_AssignRole[Role]=C46)*(tbl_AssignRole[Done]&gt;=90%)*tbl_AssignRole[E_Cost]),"")</f>
        <v>352</v>
      </c>
      <c r="I46" s="320" cm="1">
        <f t="array" ref="I46">IF(C46&lt;&gt;"",SUMPRODUCT((tbl_AssignRole[Role]=C46)*(tbl_AssignRole[Done]&gt;=90%)*tbl_AssignRole[A_Cost]),"")</f>
        <v>448</v>
      </c>
      <c r="J46" s="321">
        <f t="shared" si="0"/>
        <v>96</v>
      </c>
      <c r="K46" s="322">
        <f t="shared" si="1"/>
        <v>0.27272727272727271</v>
      </c>
    </row>
    <row r="47" spans="2:11" ht="15.75" x14ac:dyDescent="0.25">
      <c r="B47" s="151"/>
      <c r="C47" s="248" t="str">
        <v>Server Developer</v>
      </c>
      <c r="D47" s="153"/>
      <c r="E47" s="151"/>
      <c r="F47" s="320">
        <f>IF(C47&lt;&gt;"",SUMIF(tbl_AssignRole[Role],ProjectSummary!C47,tbl_AssignRole[E_Cost]),"")</f>
        <v>1545</v>
      </c>
      <c r="G47" s="320">
        <f>IF(C47&lt;&gt;"",SUMIF(tbl_AssignRole[Role],ProjectSummary!C47,tbl_AssignRole[A_Cost]),"")</f>
        <v>1572</v>
      </c>
      <c r="H47" s="320" cm="1">
        <f t="array" ref="H47">IF(C47&lt;&gt;"",SUMPRODUCT((tbl_AssignRole[Role]=C47)*(tbl_AssignRole[Done]&gt;=90%)*tbl_AssignRole[E_Cost]),"")</f>
        <v>270</v>
      </c>
      <c r="I47" s="320" cm="1">
        <f t="array" ref="I47">IF(C47&lt;&gt;"",SUMPRODUCT((tbl_AssignRole[Role]=C47)*(tbl_AssignRole[Done]&gt;=90%)*tbl_AssignRole[A_Cost]),"")</f>
        <v>297</v>
      </c>
      <c r="J47" s="321">
        <f t="shared" si="0"/>
        <v>27</v>
      </c>
      <c r="K47" s="322">
        <f t="shared" si="1"/>
        <v>0.1</v>
      </c>
    </row>
    <row r="48" spans="2:11" ht="15.75" x14ac:dyDescent="0.25">
      <c r="B48" s="151"/>
      <c r="C48" s="248" t="str">
        <v>Technical Lead</v>
      </c>
      <c r="D48" s="153"/>
      <c r="E48" s="151"/>
      <c r="F48" s="320">
        <f>IF(C48&lt;&gt;"",SUMIF(tbl_AssignRole[Role],ProjectSummary!C48,tbl_AssignRole[E_Cost]),"")</f>
        <v>160</v>
      </c>
      <c r="G48" s="320">
        <f>IF(C48&lt;&gt;"",SUMIF(tbl_AssignRole[Role],ProjectSummary!C48,tbl_AssignRole[A_Cost]),"")</f>
        <v>160</v>
      </c>
      <c r="H48" s="320" cm="1">
        <f t="array" ref="H48">IF(C48&lt;&gt;"",SUMPRODUCT((tbl_AssignRole[Role]=C48)*(tbl_AssignRole[Done]&gt;=90%)*tbl_AssignRole[E_Cost]),"")</f>
        <v>0</v>
      </c>
      <c r="I48" s="320" cm="1">
        <f t="array" ref="I48">IF(C48&lt;&gt;"",SUMPRODUCT((tbl_AssignRole[Role]=C48)*(tbl_AssignRole[Done]&gt;=90%)*tbl_AssignRole[A_Cost]),"")</f>
        <v>0</v>
      </c>
      <c r="J48" s="321">
        <f t="shared" si="0"/>
        <v>0</v>
      </c>
      <c r="K48" s="322">
        <f t="shared" si="1"/>
        <v>0</v>
      </c>
    </row>
    <row r="49" spans="2:15" ht="15.75" x14ac:dyDescent="0.25">
      <c r="B49" s="151"/>
      <c r="C49" s="248" t="str">
        <v>Tester</v>
      </c>
      <c r="D49" s="153"/>
      <c r="E49" s="151"/>
      <c r="F49" s="320">
        <f>IF(C49&lt;&gt;"",SUMIF(tbl_AssignRole[Role],ProjectSummary!C49,tbl_AssignRole[E_Cost]),"")</f>
        <v>417.5</v>
      </c>
      <c r="G49" s="320">
        <f>IF(C49&lt;&gt;"",SUMIF(tbl_AssignRole[Role],ProjectSummary!C49,tbl_AssignRole[A_Cost]),"")</f>
        <v>417.5</v>
      </c>
      <c r="H49" s="320" cm="1">
        <f t="array" ref="H49">IF(C49&lt;&gt;"",SUMPRODUCT((tbl_AssignRole[Role]=C49)*(tbl_AssignRole[Done]&gt;=90%)*tbl_AssignRole[E_Cost]),"")</f>
        <v>0</v>
      </c>
      <c r="I49" s="320" cm="1">
        <f t="array" ref="I49">IF(C49&lt;&gt;"",SUMPRODUCT((tbl_AssignRole[Role]=C49)*(tbl_AssignRole[Done]&gt;=90%)*tbl_AssignRole[A_Cost]),"")</f>
        <v>0</v>
      </c>
      <c r="J49" s="321">
        <f t="shared" si="0"/>
        <v>0</v>
      </c>
      <c r="K49" s="322">
        <f t="shared" si="1"/>
        <v>0</v>
      </c>
    </row>
    <row r="50" spans="2:15" ht="15.75" x14ac:dyDescent="0.25">
      <c r="B50" s="151"/>
      <c r="C50" s="248" t="str">
        <v>Un-Assigned Role</v>
      </c>
      <c r="D50" s="153"/>
      <c r="E50" s="151"/>
      <c r="F50" s="320">
        <f>IF(C50&lt;&gt;"",SUMIF(tbl_AssignRole[Role],ProjectSummary!C50,tbl_AssignRole[E_Cost]),"")</f>
        <v>50</v>
      </c>
      <c r="G50" s="320">
        <f>IF(C50&lt;&gt;"",SUMIF(tbl_AssignRole[Role],ProjectSummary!C50,tbl_AssignRole[A_Cost]),"")</f>
        <v>50</v>
      </c>
      <c r="H50" s="320" cm="1">
        <f t="array" ref="H50">IF(C50&lt;&gt;"",SUMPRODUCT((tbl_AssignRole[Role]=C50)*(tbl_AssignRole[Done]&gt;=90%)*tbl_AssignRole[E_Cost]),"")</f>
        <v>0</v>
      </c>
      <c r="I50" s="320" cm="1">
        <f t="array" ref="I50">IF(C50&lt;&gt;"",SUMPRODUCT((tbl_AssignRole[Role]=C50)*(tbl_AssignRole[Done]&gt;=90%)*tbl_AssignRole[A_Cost]),"")</f>
        <v>0</v>
      </c>
      <c r="J50" s="321">
        <f t="shared" ref="J50:J59" si="2">IF(I50&lt;&gt;"",I50-H50,"")</f>
        <v>0</v>
      </c>
      <c r="K50" s="322">
        <f t="shared" ref="K50:K59" si="3">IFERROR(IF(OR(J50&lt;0,J50&gt;0),J50/H50,0),"")</f>
        <v>0</v>
      </c>
    </row>
    <row r="51" spans="2:15" x14ac:dyDescent="0.25">
      <c r="B51" s="151"/>
      <c r="C51" s="247" t="str">
        <v>UX Designer</v>
      </c>
      <c r="D51" s="153"/>
      <c r="E51" s="151"/>
      <c r="F51" s="320">
        <f>IF(C51&lt;&gt;"",SUMIF(tbl_AssignRole[Role],ProjectSummary!C51,tbl_AssignRole[E_Cost]),"")</f>
        <v>226</v>
      </c>
      <c r="G51" s="320">
        <f>IF(C51&lt;&gt;"",SUMIF(tbl_AssignRole[Role],ProjectSummary!C51,tbl_AssignRole[A_Cost]),"")</f>
        <v>226</v>
      </c>
      <c r="H51" s="320" cm="1">
        <f t="array" ref="H51">IF(C51&lt;&gt;"",SUMPRODUCT((tbl_AssignRole[Role]=C51)*(tbl_AssignRole[Done]&gt;=90%)*tbl_AssignRole[E_Cost]),"")</f>
        <v>0</v>
      </c>
      <c r="I51" s="320" cm="1">
        <f t="array" ref="I51">IF(C51&lt;&gt;"",SUMPRODUCT((tbl_AssignRole[Role]=C51)*(tbl_AssignRole[Done]&gt;=90%)*tbl_AssignRole[A_Cost]),"")</f>
        <v>0</v>
      </c>
      <c r="J51" s="320">
        <f t="shared" si="2"/>
        <v>0</v>
      </c>
      <c r="K51" s="322">
        <f t="shared" si="3"/>
        <v>0</v>
      </c>
    </row>
    <row r="52" spans="2:15" x14ac:dyDescent="0.25">
      <c r="B52" s="151"/>
      <c r="C52" s="247">
        <v>0</v>
      </c>
      <c r="D52" s="153"/>
      <c r="E52" s="151"/>
      <c r="F52" s="320">
        <f>IF(C52&lt;&gt;"",SUMIF(tbl_AssignRole[Role],ProjectSummary!C52,tbl_AssignRole[E_Cost]),"")</f>
        <v>0</v>
      </c>
      <c r="G52" s="320">
        <f>IF(C52&lt;&gt;"",SUMIF(tbl_AssignRole[Role],ProjectSummary!C52,tbl_AssignRole[A_Cost]),"")</f>
        <v>0</v>
      </c>
      <c r="H52" s="320" cm="1">
        <f t="array" ref="H52">IF(C52&lt;&gt;"",SUMPRODUCT((tbl_AssignRole[Role]=C52)*(tbl_AssignRole[Done]&gt;=90%)*tbl_AssignRole[E_Cost]),"")</f>
        <v>0</v>
      </c>
      <c r="I52" s="320" cm="1">
        <f t="array" ref="I52">IF(C52&lt;&gt;"",SUMPRODUCT((tbl_AssignRole[Role]=C52)*(tbl_AssignRole[Done]&gt;=90%)*tbl_AssignRole[A_Cost]),"")</f>
        <v>0</v>
      </c>
      <c r="J52" s="320">
        <f t="shared" si="2"/>
        <v>0</v>
      </c>
      <c r="K52" s="322">
        <f t="shared" si="3"/>
        <v>0</v>
      </c>
    </row>
    <row r="53" spans="2:15" x14ac:dyDescent="0.25">
      <c r="B53" s="151"/>
      <c r="C53" s="247"/>
      <c r="D53" s="153"/>
      <c r="E53" s="151"/>
      <c r="F53" s="320" t="str">
        <f>IF(C53&lt;&gt;"",SUMIF(tbl_AssignRole[Role],ProjectSummary!C53,tbl_AssignRole[E_Cost]),"")</f>
        <v/>
      </c>
      <c r="G53" s="320" t="str">
        <f>IF(C53&lt;&gt;"",SUMIF(tbl_AssignRole[Role],ProjectSummary!C53,tbl_AssignRole[A_Cost]),"")</f>
        <v/>
      </c>
      <c r="H53" s="320" t="str" cm="1">
        <f t="array" ref="H53">IF(C53&lt;&gt;"",SUMPRODUCT((tbl_AssignRole[Role]=C53)*(tbl_AssignRole[Done]&gt;=90%)*tbl_AssignRole[E_Cost]),"")</f>
        <v/>
      </c>
      <c r="I53" s="320" t="str" cm="1">
        <f t="array" ref="I53">IF(C53&lt;&gt;"",SUMPRODUCT((tbl_AssignRole[Role]=C53)*(tbl_AssignRole[Done]&gt;=90%)*tbl_AssignRole[A_Cost]),"")</f>
        <v/>
      </c>
      <c r="J53" s="320" t="str">
        <f t="shared" si="2"/>
        <v/>
      </c>
      <c r="K53" s="322" t="str">
        <f t="shared" si="3"/>
        <v/>
      </c>
    </row>
    <row r="54" spans="2:15" x14ac:dyDescent="0.25">
      <c r="B54" s="151"/>
      <c r="C54" s="247"/>
      <c r="D54" s="153"/>
      <c r="E54" s="151"/>
      <c r="F54" s="320" t="str">
        <f>IF(C54&lt;&gt;"",SUMIF(tbl_AssignRole[Role],ProjectSummary!C54,tbl_AssignRole[E_Cost]),"")</f>
        <v/>
      </c>
      <c r="G54" s="320" t="str">
        <f>IF(C54&lt;&gt;"",SUMIF(tbl_AssignRole[Role],ProjectSummary!C54,tbl_AssignRole[A_Cost]),"")</f>
        <v/>
      </c>
      <c r="H54" s="320" t="str" cm="1">
        <f t="array" ref="H54">IF(C54&lt;&gt;"",SUMPRODUCT((tbl_AssignRole[Role]=C54)*(tbl_AssignRole[Done]&gt;=90%)*tbl_AssignRole[E_Cost]),"")</f>
        <v/>
      </c>
      <c r="I54" s="320" t="str" cm="1">
        <f t="array" ref="I54">IF(C54&lt;&gt;"",SUMPRODUCT((tbl_AssignRole[Role]=C54)*(tbl_AssignRole[Done]&gt;=90%)*tbl_AssignRole[A_Cost]),"")</f>
        <v/>
      </c>
      <c r="J54" s="320" t="str">
        <f t="shared" si="2"/>
        <v/>
      </c>
      <c r="K54" s="322" t="str">
        <f t="shared" si="3"/>
        <v/>
      </c>
    </row>
    <row r="55" spans="2:15" x14ac:dyDescent="0.25">
      <c r="B55" s="151"/>
      <c r="C55" s="247"/>
      <c r="D55" s="153"/>
      <c r="E55" s="151"/>
      <c r="F55" s="320" t="str">
        <f>IF(C55&lt;&gt;"",SUMIF(tbl_AssignRole[Role],ProjectSummary!C55,tbl_AssignRole[E_Cost]),"")</f>
        <v/>
      </c>
      <c r="G55" s="320" t="str">
        <f>IF(C55&lt;&gt;"",SUMIF(tbl_AssignRole[Role],ProjectSummary!C55,tbl_AssignRole[A_Cost]),"")</f>
        <v/>
      </c>
      <c r="H55" s="320" t="str" cm="1">
        <f t="array" ref="H55">IF(C55&lt;&gt;"",SUMPRODUCT((tbl_AssignRole[Role]=C55)*(tbl_AssignRole[Done]&gt;=90%)*tbl_AssignRole[E_Cost]),"")</f>
        <v/>
      </c>
      <c r="I55" s="320" t="str" cm="1">
        <f t="array" ref="I55">IF(C55&lt;&gt;"",SUMPRODUCT((tbl_AssignRole[Role]=C55)*(tbl_AssignRole[Done]&gt;=90%)*tbl_AssignRole[A_Cost]),"")</f>
        <v/>
      </c>
      <c r="J55" s="320" t="str">
        <f t="shared" si="2"/>
        <v/>
      </c>
      <c r="K55" s="322" t="str">
        <f t="shared" si="3"/>
        <v/>
      </c>
    </row>
    <row r="56" spans="2:15" x14ac:dyDescent="0.25">
      <c r="B56" s="151"/>
      <c r="C56" s="247"/>
      <c r="D56" s="153"/>
      <c r="E56" s="151"/>
      <c r="F56" s="320" t="str">
        <f>IF(C56&lt;&gt;"",SUMIF(tbl_AssignRole[Role],ProjectSummary!C56,tbl_AssignRole[E_Cost]),"")</f>
        <v/>
      </c>
      <c r="G56" s="320" t="str">
        <f>IF(C56&lt;&gt;"",SUMIF(tbl_AssignRole[Role],ProjectSummary!C56,tbl_AssignRole[A_Cost]),"")</f>
        <v/>
      </c>
      <c r="H56" s="320" t="str" cm="1">
        <f t="array" ref="H56">IF(C56&lt;&gt;"",SUMPRODUCT((tbl_AssignRole[Role]=C56)*(tbl_AssignRole[Done]&gt;=90%)*tbl_AssignRole[E_Cost]),"")</f>
        <v/>
      </c>
      <c r="I56" s="320" t="str" cm="1">
        <f t="array" ref="I56">IF(C56&lt;&gt;"",SUMPRODUCT((tbl_AssignRole[Role]=C56)*(tbl_AssignRole[Done]&gt;=90%)*tbl_AssignRole[A_Cost]),"")</f>
        <v/>
      </c>
      <c r="J56" s="320" t="str">
        <f t="shared" si="2"/>
        <v/>
      </c>
      <c r="K56" s="322" t="str">
        <f t="shared" si="3"/>
        <v/>
      </c>
    </row>
    <row r="57" spans="2:15" x14ac:dyDescent="0.25">
      <c r="B57" s="151"/>
      <c r="C57" s="247"/>
      <c r="D57" s="153"/>
      <c r="E57" s="151"/>
      <c r="F57" s="320" t="str">
        <f>IF(C57&lt;&gt;"",SUMIF(tbl_AssignRole[Role],ProjectSummary!C57,tbl_AssignRole[E_Cost]),"")</f>
        <v/>
      </c>
      <c r="G57" s="320" t="str">
        <f>IF(C57&lt;&gt;"",SUMIF(tbl_AssignRole[Role],ProjectSummary!C57,tbl_AssignRole[A_Cost]),"")</f>
        <v/>
      </c>
      <c r="H57" s="320" t="str" cm="1">
        <f t="array" ref="H57">IF(C57&lt;&gt;"",SUMPRODUCT((tbl_AssignRole[Role]=C57)*(tbl_AssignRole[Done]&gt;=90%)*tbl_AssignRole[E_Cost]),"")</f>
        <v/>
      </c>
      <c r="I57" s="320" t="str" cm="1">
        <f t="array" ref="I57">IF(C57&lt;&gt;"",SUMPRODUCT((tbl_AssignRole[Role]=C57)*(tbl_AssignRole[Done]&gt;=90%)*tbl_AssignRole[A_Cost]),"")</f>
        <v/>
      </c>
      <c r="J57" s="320" t="str">
        <f t="shared" si="2"/>
        <v/>
      </c>
      <c r="K57" s="322" t="str">
        <f t="shared" si="3"/>
        <v/>
      </c>
    </row>
    <row r="58" spans="2:15" x14ac:dyDescent="0.25">
      <c r="B58" s="151"/>
      <c r="C58" s="247"/>
      <c r="D58" s="153"/>
      <c r="E58" s="151"/>
      <c r="F58" s="320" t="str">
        <f>IF(C58&lt;&gt;"",SUMIF(tbl_AssignRole[Role],ProjectSummary!C58,tbl_AssignRole[E_Cost]),"")</f>
        <v/>
      </c>
      <c r="G58" s="320" t="str">
        <f>IF(C58&lt;&gt;"",SUMIF(tbl_AssignRole[Role],ProjectSummary!C58,tbl_AssignRole[A_Cost]),"")</f>
        <v/>
      </c>
      <c r="H58" s="320" t="str" cm="1">
        <f t="array" ref="H58">IF(C58&lt;&gt;"",SUMPRODUCT((tbl_AssignRole[Role]=C58)*(tbl_AssignRole[Done]&gt;=90%)*tbl_AssignRole[E_Cost]),"")</f>
        <v/>
      </c>
      <c r="I58" s="320" t="str" cm="1">
        <f t="array" ref="I58">IF(C58&lt;&gt;"",SUMPRODUCT((tbl_AssignRole[Role]=C58)*(tbl_AssignRole[Done]&gt;=90%)*tbl_AssignRole[A_Cost]),"")</f>
        <v/>
      </c>
      <c r="J58" s="320" t="str">
        <f t="shared" si="2"/>
        <v/>
      </c>
      <c r="K58" s="322" t="str">
        <f t="shared" si="3"/>
        <v/>
      </c>
    </row>
    <row r="59" spans="2:15" x14ac:dyDescent="0.25">
      <c r="B59" s="151"/>
      <c r="C59" s="247"/>
      <c r="D59" s="153"/>
      <c r="E59" s="151"/>
      <c r="F59" s="320" t="str">
        <f>IF(C59&lt;&gt;"",SUMIF(tbl_AssignRole[Role],ProjectSummary!C59,tbl_AssignRole[E_Cost]),"")</f>
        <v/>
      </c>
      <c r="G59" s="320" t="str">
        <f>IF(C59&lt;&gt;"",SUMIF(tbl_AssignRole[Role],ProjectSummary!C59,tbl_AssignRole[A_Cost]),"")</f>
        <v/>
      </c>
      <c r="H59" s="320" t="str" cm="1">
        <f t="array" ref="H59">IF(C59&lt;&gt;"",SUMPRODUCT((tbl_AssignRole[Role]=C59)*(tbl_AssignRole[Done]&gt;=90%)*tbl_AssignRole[E_Cost]),"")</f>
        <v/>
      </c>
      <c r="I59" s="320" t="str" cm="1">
        <f t="array" ref="I59">IF(C59&lt;&gt;"",SUMPRODUCT((tbl_AssignRole[Role]=C59)*(tbl_AssignRole[Done]&gt;=90%)*tbl_AssignRole[A_Cost]),"")</f>
        <v/>
      </c>
      <c r="J59" s="320" t="str">
        <f t="shared" si="2"/>
        <v/>
      </c>
      <c r="K59" s="322" t="str">
        <f t="shared" si="3"/>
        <v/>
      </c>
    </row>
    <row r="60" spans="2:15" x14ac:dyDescent="0.25">
      <c r="C60" s="247"/>
      <c r="F60" s="242"/>
      <c r="G60" s="242"/>
      <c r="H60" s="242"/>
      <c r="I60" s="242"/>
      <c r="J60" s="242"/>
      <c r="K60" s="153"/>
    </row>
    <row r="61" spans="2:15" x14ac:dyDescent="0.25">
      <c r="C61" s="247"/>
      <c r="F61" s="242"/>
      <c r="G61" s="242"/>
      <c r="H61" s="242"/>
      <c r="I61" s="242"/>
      <c r="J61" s="242"/>
      <c r="K61" s="153"/>
    </row>
    <row r="62" spans="2:15" x14ac:dyDescent="0.25">
      <c r="C62" s="247"/>
      <c r="F62" s="242"/>
      <c r="G62" s="242"/>
      <c r="H62" s="242"/>
      <c r="I62" s="242"/>
      <c r="J62" s="242"/>
      <c r="K62" s="153"/>
    </row>
    <row r="63" spans="2:15" x14ac:dyDescent="0.25">
      <c r="C63" s="247"/>
      <c r="F63" s="242"/>
      <c r="G63" s="242"/>
      <c r="H63" s="242"/>
      <c r="I63" s="242"/>
      <c r="J63" s="242"/>
      <c r="K63" s="153"/>
    </row>
    <row r="64" spans="2:15" x14ac:dyDescent="0.25">
      <c r="C64" s="247"/>
      <c r="F64" s="242"/>
      <c r="G64" s="242"/>
      <c r="H64" s="242"/>
      <c r="I64" s="242"/>
      <c r="J64" s="242"/>
      <c r="K64" s="153"/>
      <c r="L64" s="242"/>
      <c r="M64" s="242"/>
      <c r="N64" s="242"/>
      <c r="O64" s="153"/>
    </row>
    <row r="65" spans="3:11" x14ac:dyDescent="0.25">
      <c r="C65" s="247"/>
      <c r="F65" s="242"/>
      <c r="G65" s="242"/>
      <c r="H65" s="242"/>
      <c r="I65" s="242"/>
      <c r="J65" s="242"/>
      <c r="K65" s="153"/>
    </row>
    <row r="66" spans="3:11" x14ac:dyDescent="0.25">
      <c r="C66" s="247"/>
      <c r="F66" s="242"/>
      <c r="G66" s="242"/>
      <c r="H66" s="242"/>
      <c r="I66" s="242"/>
      <c r="J66" s="242"/>
      <c r="K66" s="153"/>
    </row>
    <row r="67" spans="3:11" x14ac:dyDescent="0.25">
      <c r="C67" s="247"/>
      <c r="F67" s="242"/>
      <c r="G67" s="242"/>
      <c r="H67" s="242"/>
      <c r="I67" s="242"/>
      <c r="J67" s="242"/>
      <c r="K67" s="153"/>
    </row>
    <row r="68" spans="3:11" x14ac:dyDescent="0.25">
      <c r="C68" s="247"/>
      <c r="F68" s="242"/>
      <c r="G68" s="242"/>
      <c r="H68" s="242"/>
      <c r="I68" s="242"/>
      <c r="J68" s="242"/>
      <c r="K68" s="153"/>
    </row>
    <row r="69" spans="3:11" x14ac:dyDescent="0.25">
      <c r="C69" s="247"/>
      <c r="F69" s="242"/>
      <c r="G69" s="242"/>
      <c r="H69" s="242"/>
      <c r="I69" s="242"/>
      <c r="J69" s="242"/>
      <c r="K69" s="153"/>
    </row>
    <row r="70" spans="3:11" x14ac:dyDescent="0.25">
      <c r="C70" s="247"/>
      <c r="F70" s="242"/>
      <c r="G70" s="242"/>
      <c r="H70" s="242"/>
      <c r="I70" s="242"/>
      <c r="J70" s="242"/>
      <c r="K70" s="153"/>
    </row>
    <row r="71" spans="3:11" x14ac:dyDescent="0.25">
      <c r="F71" s="242"/>
      <c r="G71" s="242"/>
      <c r="H71" s="242"/>
      <c r="I71" s="242"/>
      <c r="J71" s="242"/>
      <c r="K71" s="153"/>
    </row>
    <row r="72" spans="3:11" x14ac:dyDescent="0.25">
      <c r="F72" s="242"/>
      <c r="G72" s="242"/>
      <c r="H72" s="242"/>
      <c r="I72" s="242"/>
      <c r="J72" s="242"/>
      <c r="K72" s="153"/>
    </row>
    <row r="73" spans="3:11" x14ac:dyDescent="0.25">
      <c r="F73" s="242"/>
      <c r="G73" s="242"/>
      <c r="H73" s="242"/>
      <c r="I73" s="242"/>
      <c r="J73" s="242"/>
      <c r="K73" s="153"/>
    </row>
  </sheetData>
  <sheetProtection algorithmName="SHA-512" hashValue="ke+ad3ByF1OicfnsrFlGoybPeVaMunEaOvdL4QhG7mrPIbbvtcZ3M6McdVNHvkgEfZ1hIJkwRUQYgoTLIdsEUw==" saltValue="j5KDg6xq/sjOlgv3WGqFOw==" spinCount="100000" sheet="1" formatCells="0" formatColumns="0" formatRows="0" sort="0" autoFilter="0"/>
  <protectedRanges>
    <protectedRange sqref="B6:O19" name="Range3"/>
    <protectedRange sqref="G2:H2" name="ProjectSummary_Mnth_Year"/>
    <protectedRange sqref="B5:O5" name="Range2"/>
  </protectedRanges>
  <mergeCells count="5">
    <mergeCell ref="H34:K34"/>
    <mergeCell ref="H4:I4"/>
    <mergeCell ref="J2:L3"/>
    <mergeCell ref="B2:C2"/>
    <mergeCell ref="E2:F2"/>
  </mergeCells>
  <conditionalFormatting sqref="B6:C18">
    <cfRule type="expression" dxfId="86" priority="172">
      <formula>AND(MONTH($F6)=MONTH(DATEVALUE($G$2&amp;" 1")), YEAR($F6)=YEAR(DATEVALUE("1 "&amp;$G$2&amp;" "&amp;$H$2)))</formula>
    </cfRule>
    <cfRule type="expression" dxfId="85" priority="173">
      <formula>AND(MONTH($G6)=MONTH(DATEVALUE($G$2&amp;" 1")), YEAR($G6)=YEAR(DATEVALUE("1 "&amp;$G$2&amp;" "&amp;$H$2)))</formula>
    </cfRule>
  </conditionalFormatting>
  <conditionalFormatting sqref="C35 F35:G35">
    <cfRule type="expression" dxfId="84" priority="12" stopIfTrue="1">
      <formula>C35&lt;&gt;""</formula>
    </cfRule>
  </conditionalFormatting>
  <conditionalFormatting sqref="C38:C70 F38:K73 H35:K35 L64:O64">
    <cfRule type="expression" dxfId="83" priority="26" stopIfTrue="1">
      <formula>$C35&lt;&gt;""</formula>
    </cfRule>
  </conditionalFormatting>
  <conditionalFormatting sqref="C38:C73 F38:F73">
    <cfRule type="expression" dxfId="82" priority="10">
      <formula>AND($C38="Un-Assigned Role",$F38&gt;0)</formula>
    </cfRule>
  </conditionalFormatting>
  <conditionalFormatting sqref="E6:E18">
    <cfRule type="colorScale" priority="40">
      <colorScale>
        <cfvo type="min"/>
        <cfvo type="percentile" val="30"/>
        <cfvo type="max"/>
        <color theme="9" tint="0.79998168889431442"/>
        <color theme="9" tint="0.39997558519241921"/>
        <color theme="9" tint="-0.249977111117893"/>
      </colorScale>
    </cfRule>
  </conditionalFormatting>
  <conditionalFormatting sqref="F6:F18">
    <cfRule type="expression" dxfId="81" priority="174">
      <formula>AND(MONTH($F6)=MONTH(DATEVALUE($G$2&amp;" 1")), YEAR($F6)=YEAR(DATEVALUE("1 "&amp;$G$2&amp;" "&amp;$H$2)))</formula>
    </cfRule>
  </conditionalFormatting>
  <conditionalFormatting sqref="F42:F49">
    <cfRule type="expression" dxfId="80" priority="28">
      <formula>F42&lt;&gt;""</formula>
    </cfRule>
  </conditionalFormatting>
  <conditionalFormatting sqref="G6:G18">
    <cfRule type="expression" dxfId="79" priority="177">
      <formula>AND(MONTH($G6)=MONTH(DATEVALUE($G$2&amp;" 1")), YEAR($G6)=YEAR(DATEVALUE("1 "&amp;$G$2&amp;" "&amp;$H$2)))</formula>
    </cfRule>
  </conditionalFormatting>
  <conditionalFormatting sqref="H2 J2">
    <cfRule type="expression" dxfId="78" priority="156">
      <formula>$O$3=FALSE</formula>
    </cfRule>
  </conditionalFormatting>
  <conditionalFormatting sqref="H2">
    <cfRule type="expression" dxfId="77" priority="155">
      <formula>$O$3=FALSE</formula>
    </cfRule>
  </conditionalFormatting>
  <conditionalFormatting sqref="H6:H18 O6:Q18">
    <cfRule type="expression" dxfId="76" priority="148">
      <formula>AND(MONTH($G6)=MONTH(DATEVALUE($O$32&amp;" 1")), YEAR($G6)=YEAR(DATEVALUE("1 "&amp;$O$32&amp;" "&amp;$W$32)))</formula>
    </cfRule>
  </conditionalFormatting>
  <conditionalFormatting sqref="H6:H18">
    <cfRule type="iconSet" priority="34">
      <iconSet>
        <cfvo type="percent" val="0"/>
        <cfvo type="num" val="7"/>
        <cfvo type="num" val="15"/>
      </iconSet>
    </cfRule>
    <cfRule type="cellIs" dxfId="75" priority="81" stopIfTrue="1" operator="lessThan">
      <formula>7</formula>
    </cfRule>
    <cfRule type="cellIs" dxfId="74" priority="82" stopIfTrue="1" operator="between">
      <formula>7</formula>
      <formula>15</formula>
    </cfRule>
    <cfRule type="cellIs" dxfId="73" priority="83" operator="greaterThan">
      <formula>15</formula>
    </cfRule>
  </conditionalFormatting>
  <conditionalFormatting sqref="J6:N18">
    <cfRule type="cellIs" dxfId="72" priority="164" operator="equal">
      <formula>0</formula>
    </cfRule>
    <cfRule type="cellIs" dxfId="71" priority="165" operator="greaterThanOrEqual">
      <formula>0.9</formula>
    </cfRule>
    <cfRule type="expression" dxfId="70" priority="166">
      <formula>AND(MONTH($G6)=MONTH(DATEVALUE($O$32&amp;" 1")), YEAR($G6)=YEAR(DATEVALUE("1 "&amp;$O$32&amp;" "&amp;$W$32)))</formula>
    </cfRule>
  </conditionalFormatting>
  <conditionalFormatting sqref="J6:O19">
    <cfRule type="expression" dxfId="69" priority="163">
      <formula>AND(MONTH($G6)=MONTH(DATEVALUE($G$2&amp;" 1")), YEAR($G6)=YEAR(DATEVALUE("1 "&amp;$G$2&amp;" "&amp;$H$2)))</formula>
    </cfRule>
  </conditionalFormatting>
  <conditionalFormatting sqref="K35">
    <cfRule type="iconSet" priority="5">
      <iconSet reverse="1">
        <cfvo type="percent" val="0"/>
        <cfvo type="percentile" val="0.01"/>
        <cfvo type="num" val="0.01"/>
      </iconSet>
    </cfRule>
  </conditionalFormatting>
  <conditionalFormatting sqref="K38:K73">
    <cfRule type="iconSet" priority="4">
      <iconSet reverse="1">
        <cfvo type="percent" val="0"/>
        <cfvo type="percentile" val="0.01"/>
        <cfvo type="num" val="0.01"/>
      </iconSet>
    </cfRule>
    <cfRule type="iconSet" priority="181">
      <iconSet reverse="1">
        <cfvo type="percent" val="0"/>
        <cfvo type="percentile" val="0.01"/>
        <cfvo type="num" val="0.01"/>
      </iconSet>
    </cfRule>
  </conditionalFormatting>
  <conditionalFormatting sqref="L48:N49">
    <cfRule type="expression" dxfId="68" priority="15">
      <formula>L48&lt;&gt;""</formula>
    </cfRule>
  </conditionalFormatting>
  <conditionalFormatting sqref="M48:M49">
    <cfRule type="expression" dxfId="67" priority="14">
      <formula>M48=""</formula>
    </cfRule>
  </conditionalFormatting>
  <conditionalFormatting sqref="M48:N49">
    <cfRule type="expression" dxfId="66" priority="16">
      <formula>ISNUM(M49)</formula>
    </cfRule>
  </conditionalFormatting>
  <conditionalFormatting sqref="O64">
    <cfRule type="iconSet" priority="1">
      <iconSet reverse="1">
        <cfvo type="percent" val="0"/>
        <cfvo type="percentile" val="0.01"/>
        <cfvo type="num" val="0.01"/>
      </iconSet>
    </cfRule>
    <cfRule type="iconSet" priority="3">
      <iconSet reverse="1">
        <cfvo type="percent" val="0"/>
        <cfvo type="percentile" val="0.01"/>
        <cfvo type="num" val="0.01"/>
      </iconSet>
    </cfRule>
  </conditionalFormatting>
  <conditionalFormatting sqref="O6:P18">
    <cfRule type="cellIs" dxfId="65" priority="37" operator="lessThan">
      <formula>0.1</formula>
    </cfRule>
    <cfRule type="cellIs" dxfId="64" priority="38" operator="greaterThan">
      <formula>0.9</formula>
    </cfRule>
  </conditionalFormatting>
  <conditionalFormatting sqref="P19:Q19">
    <cfRule type="expression" dxfId="63" priority="150">
      <formula>AND(MONTH(#REF!)=MONTH(DATEVALUE($O$32&amp;" 1")), YEAR(#REF!)=YEAR(DATEVALUE("1 "&amp;$O$32&amp;" "&amp;$W$32)))</formula>
    </cfRule>
  </conditionalFormatting>
  <dataValidations count="2">
    <dataValidation type="list" allowBlank="1" showInputMessage="1" showErrorMessage="1" sqref="H2" xr:uid="{18D344CF-84A9-409D-85B8-3A313E6D0320}">
      <formula1>used_years</formula1>
    </dataValidation>
    <dataValidation type="list" allowBlank="1" showInputMessage="1" showErrorMessage="1" sqref="G2:G3" xr:uid="{3D562C93-6429-46C2-B339-6A8BD5FDF887}">
      <formula1>used_months</formula1>
    </dataValidation>
  </dataValidations>
  <pageMargins left="0.7" right="0.7" top="0.75" bottom="0.75" header="0.3" footer="0.3"/>
  <pageSetup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4F54E-DA0D-49E1-AB8F-6DC47B44B437}">
  <dimension ref="A1:V101"/>
  <sheetViews>
    <sheetView zoomScale="110" zoomScaleNormal="110" workbookViewId="0">
      <selection activeCell="C14" sqref="C14"/>
    </sheetView>
  </sheetViews>
  <sheetFormatPr defaultRowHeight="15" x14ac:dyDescent="0.25"/>
  <cols>
    <col min="1" max="1" width="1.5703125" style="11" customWidth="1"/>
    <col min="2" max="2" width="56.7109375" customWidth="1"/>
    <col min="3" max="3" width="8.42578125" style="12" bestFit="1" customWidth="1"/>
    <col min="4" max="4" width="6.85546875" style="12" bestFit="1" customWidth="1"/>
    <col min="5" max="5" width="14.42578125" bestFit="1" customWidth="1"/>
    <col min="6" max="6" width="17.5703125" bestFit="1" customWidth="1"/>
    <col min="7" max="7" width="12.5703125" style="15" bestFit="1" customWidth="1"/>
    <col min="8" max="8" width="11.5703125" style="15" bestFit="1" customWidth="1"/>
    <col min="9" max="9" width="6" style="12" bestFit="1" customWidth="1"/>
    <col min="10" max="10" width="5.85546875" style="12" bestFit="1" customWidth="1"/>
    <col min="11" max="11" width="6.140625" style="12" bestFit="1" customWidth="1"/>
    <col min="12" max="12" width="8.140625" style="12" customWidth="1"/>
    <col min="13" max="13" width="6.5703125" style="12" customWidth="1"/>
    <col min="14" max="15" width="10.42578125" style="12" bestFit="1" customWidth="1"/>
    <col min="16" max="16" width="7.42578125" style="12" bestFit="1" customWidth="1"/>
    <col min="17" max="17" width="3.85546875" customWidth="1"/>
    <col min="18" max="18" width="18.140625" style="1" customWidth="1"/>
    <col min="19" max="19" width="24.5703125" customWidth="1"/>
    <col min="20" max="20" width="38.85546875" bestFit="1" customWidth="1"/>
    <col min="21" max="21" width="11.42578125" bestFit="1" customWidth="1"/>
    <col min="22" max="22" width="2.42578125" customWidth="1"/>
    <col min="23" max="23" width="10.42578125" bestFit="1" customWidth="1"/>
  </cols>
  <sheetData>
    <row r="1" spans="2:22" ht="21" x14ac:dyDescent="0.35">
      <c r="B1" s="482" t="str">
        <f>_xlfn.CONCAT("Completed Tasks (90% or more) Report: ",Information!D2)</f>
        <v>Completed Tasks (90% or more) Report: New expenditure and commissions system.</v>
      </c>
      <c r="C1" s="482"/>
      <c r="D1" s="482"/>
      <c r="E1" s="482"/>
      <c r="F1" s="482"/>
      <c r="G1" s="482"/>
      <c r="H1" s="482"/>
      <c r="I1" s="482"/>
      <c r="J1" s="482"/>
      <c r="K1" s="482"/>
      <c r="L1" s="482"/>
      <c r="M1" s="482"/>
      <c r="N1" s="213"/>
      <c r="O1" s="213"/>
      <c r="P1" s="213"/>
      <c r="Q1" s="11"/>
      <c r="R1" s="481" t="s">
        <v>376</v>
      </c>
      <c r="S1" s="481"/>
      <c r="T1" s="173" t="str">
        <f>IF(V1,"*Re-select Task Ref","How many days prior to start date to check:")</f>
        <v>How many days prior to start date to check:</v>
      </c>
      <c r="U1" s="11">
        <v>20</v>
      </c>
      <c r="V1" s="174">
        <f>IF(ISNUMBER(MATCH(R3,D4:D101,0)),0,1)</f>
        <v>0</v>
      </c>
    </row>
    <row r="2" spans="2:22" ht="15.75" thickBot="1" x14ac:dyDescent="0.3">
      <c r="B2" s="11"/>
      <c r="C2" s="151"/>
      <c r="D2" s="151"/>
      <c r="E2" s="11"/>
      <c r="F2" s="11"/>
      <c r="G2" s="163"/>
      <c r="H2" s="163"/>
      <c r="I2" s="151"/>
      <c r="J2" s="151"/>
      <c r="K2" s="151"/>
      <c r="L2" s="151"/>
      <c r="M2" s="151"/>
      <c r="N2" s="151"/>
      <c r="O2" s="151"/>
      <c r="P2" s="151"/>
      <c r="Q2" s="11"/>
      <c r="R2" s="253" t="s">
        <v>377</v>
      </c>
      <c r="S2" s="253" t="s">
        <v>28</v>
      </c>
      <c r="T2" s="254" t="s">
        <v>378</v>
      </c>
      <c r="U2" s="253" t="s">
        <v>379</v>
      </c>
      <c r="V2" s="255"/>
    </row>
    <row r="3" spans="2:22" ht="15.75" thickBot="1" x14ac:dyDescent="0.3">
      <c r="B3" s="249" t="s">
        <v>354</v>
      </c>
      <c r="C3" s="250" t="s">
        <v>55</v>
      </c>
      <c r="D3" s="250" t="s">
        <v>6</v>
      </c>
      <c r="E3" s="250" t="s">
        <v>28</v>
      </c>
      <c r="F3" s="250" t="s">
        <v>98</v>
      </c>
      <c r="G3" s="250" t="s">
        <v>100</v>
      </c>
      <c r="H3" s="250" t="s">
        <v>9</v>
      </c>
      <c r="I3" s="251" t="s">
        <v>386</v>
      </c>
      <c r="J3" s="251" t="s">
        <v>370</v>
      </c>
      <c r="K3" s="251" t="s">
        <v>373</v>
      </c>
      <c r="L3" s="250" t="s">
        <v>101</v>
      </c>
      <c r="M3" s="252" t="s">
        <v>387</v>
      </c>
      <c r="N3" s="253" t="s">
        <v>418</v>
      </c>
      <c r="O3" s="253" t="s">
        <v>419</v>
      </c>
      <c r="P3" s="253" t="s">
        <v>420</v>
      </c>
      <c r="Q3" s="11"/>
      <c r="R3" s="175" t="s">
        <v>60</v>
      </c>
      <c r="S3" s="330" t="str">
        <f>_xlfn.XLOOKUP(R3,D:D,E:E,"None")</f>
        <v>Clara Bennett</v>
      </c>
      <c r="T3" s="331" cm="1">
        <f t="array" ref="T3:U3">_xlfn.XLOOKUP(R3,D:D,G:H,"None")</f>
        <v>45663</v>
      </c>
      <c r="U3" s="332">
        <v>45667</v>
      </c>
      <c r="V3" s="171"/>
    </row>
    <row r="4" spans="2:22" ht="15.75" x14ac:dyDescent="0.25">
      <c r="B4" s="323" t="str" cm="1">
        <f t="array" ref="B4:M12">_xlfn._xlws.FILTER(
    CHOOSE({1,2,3,4,5,6,7,8,9,10,11,12},
        tbl_AssignRole[Desc],
        tbl_AssignRole[Done],
        tbl_AssignRole[Ref],
        tbl_AssignRole[Assigned],
        tbl_AssignRole[Role],
        tbl_AssignRole[Start_date],
        tbl_AssignRole[End_Date],
        tbl_AssignRole[Actual],
        tbl_AssignRole[Est],
        tbl_AssignRole[Actual]-tbl_AssignRole[Est],
        tbl_AssignRole[Elapse],
        tbl_AssignRole[Hols]
    ),
    (ISNUMBER(tbl_AssignRole[Done])) * (tbl_AssignRole[Done] &gt;= 0.9),
    "No match"
)</f>
        <v>Analyse and Document Competitor Platforms</v>
      </c>
      <c r="C4" s="152">
        <v>1</v>
      </c>
      <c r="D4" s="151" t="str">
        <v>1.1.1</v>
      </c>
      <c r="E4" s="154" t="str">
        <v>Clara Bennett</v>
      </c>
      <c r="F4" s="154" t="str">
        <v>Product Owner</v>
      </c>
      <c r="G4" s="163">
        <v>45663</v>
      </c>
      <c r="H4" s="163">
        <v>45667</v>
      </c>
      <c r="I4" s="166">
        <v>5</v>
      </c>
      <c r="J4" s="166">
        <v>5</v>
      </c>
      <c r="K4" s="167">
        <v>0</v>
      </c>
      <c r="L4" s="167">
        <v>5</v>
      </c>
      <c r="M4" s="167">
        <v>0</v>
      </c>
      <c r="N4" s="324">
        <f>IF(I4&gt;0,(_xlfn.XLOOKUP(E4,tbl_staff_list[Name],tbl_staff_list[Daily_Rate],0,0))*J4,"")</f>
        <v>160</v>
      </c>
      <c r="O4" s="324">
        <f>IF(I4&gt;0,(_xlfn.XLOOKUP(E4,tbl_staff_list[Name],tbl_staff_list[Daily_Rate],0,0))*I4,"")</f>
        <v>160</v>
      </c>
      <c r="P4" s="325">
        <f>IF(I4&gt;0,(O4-N4)/N4,"")</f>
        <v>0</v>
      </c>
      <c r="Q4" s="164"/>
      <c r="R4" s="104" t="s">
        <v>7</v>
      </c>
      <c r="S4" s="104" t="s">
        <v>380</v>
      </c>
      <c r="T4" s="104" t="s">
        <v>27</v>
      </c>
      <c r="U4" s="104"/>
      <c r="V4" s="170"/>
    </row>
    <row r="5" spans="2:22" x14ac:dyDescent="0.25">
      <c r="B5" s="154" t="str">
        <v>Gather Requirements and Define User Stories</v>
      </c>
      <c r="C5" s="153">
        <v>1</v>
      </c>
      <c r="D5" s="151" t="str">
        <v>1.1.2</v>
      </c>
      <c r="E5" s="154" t="str">
        <v>James Whitmore</v>
      </c>
      <c r="F5" s="154" t="str">
        <v>Business Analyst</v>
      </c>
      <c r="G5" s="163">
        <v>45670</v>
      </c>
      <c r="H5" s="163">
        <v>45674</v>
      </c>
      <c r="I5" s="166">
        <v>5</v>
      </c>
      <c r="J5" s="166">
        <v>6</v>
      </c>
      <c r="K5" s="168">
        <v>-1</v>
      </c>
      <c r="L5" s="168">
        <v>5</v>
      </c>
      <c r="M5" s="168">
        <v>0</v>
      </c>
      <c r="N5" s="324">
        <f>IF(I5&gt;0,(_xlfn.XLOOKUP(E5,tbl_staff_list[Name],tbl_staff_list[Daily_Rate],0,0))*J5,"")</f>
        <v>192</v>
      </c>
      <c r="O5" s="324">
        <f>IF(I5&gt;0,(_xlfn.XLOOKUP(E5,tbl_staff_list[Name],tbl_staff_list[Daily_Rate],0,0))*I5,"")</f>
        <v>160</v>
      </c>
      <c r="P5" s="326">
        <f t="shared" ref="P5:P68" si="0">IF(I5&gt;0,(O5-N5)/N5,"")</f>
        <v>-0.16666666666666666</v>
      </c>
      <c r="Q5" s="165"/>
      <c r="R5" s="329" cm="1">
        <f t="array" ref="R5:T8">IF(
    V1,
    "",
    _xlfn._xlws.SORT(
        _xlfn.VSTACK(
            IFERROR(
                _xlfn._xlws.FILTER(
                    CHOOSE({1,2,3}, tbl_staff_holidays[Date], tbl_staff_holidays[Type], IF(tbl_staff_holidays[Note] = "", "", tbl_staff_holidays[Note])),
                    (tbl_staff_holidays[Staff] = S3) *
                    (tbl_staff_holidays[Date] &gt;= (T3 - U1)) *
                    (tbl_staff_holidays[Date] &lt;= U3)
                ),
                "1-No Staff Holidays"
            ),
            IFERROR(
                _xlfn._xlws.FILTER(
                    CHOOSE({1,2}, tbl_bank_holidays[Date], tbl_bank_holidays[Title]),
                    (tbl_bank_holidays[Date] &gt;= (T3 - U1)) *
                    (tbl_bank_holidays[Date] &lt;= U3)
                ),
                "2-No Bank Holidays"
            )
        ),
        1, TRUE
    )
)</f>
        <v>45644</v>
      </c>
      <c r="S5" s="11" t="str">
        <v>External Issue</v>
      </c>
      <c r="T5" s="11" t="str">
        <v>Offsite meeting with client</v>
      </c>
      <c r="U5" s="11"/>
      <c r="V5" s="11"/>
    </row>
    <row r="6" spans="2:22" x14ac:dyDescent="0.25">
      <c r="B6" s="154" t="str">
        <v>Plan of Action: Summarise Findings, High Level Objectives and Goals</v>
      </c>
      <c r="C6" s="152">
        <v>1</v>
      </c>
      <c r="D6" s="151" t="str">
        <v>1.1.3</v>
      </c>
      <c r="E6" s="154" t="str">
        <v>James Whitmore</v>
      </c>
      <c r="F6" s="154" t="str">
        <v>Business Analyst</v>
      </c>
      <c r="G6" s="163">
        <v>45677</v>
      </c>
      <c r="H6" s="163">
        <v>45681</v>
      </c>
      <c r="I6" s="166">
        <v>5</v>
      </c>
      <c r="J6" s="166">
        <v>5</v>
      </c>
      <c r="K6" s="167">
        <v>0</v>
      </c>
      <c r="L6" s="167">
        <v>5</v>
      </c>
      <c r="M6" s="167">
        <v>0</v>
      </c>
      <c r="N6" s="324">
        <f>IF(I6&gt;0,(_xlfn.XLOOKUP(E6,tbl_staff_list[Name],tbl_staff_list[Daily_Rate],0,0))*J6,"")</f>
        <v>160</v>
      </c>
      <c r="O6" s="324">
        <f>IF(I6&gt;0,(_xlfn.XLOOKUP(E6,tbl_staff_list[Name],tbl_staff_list[Daily_Rate],0,0))*I6,"")</f>
        <v>160</v>
      </c>
      <c r="P6" s="326">
        <f t="shared" si="0"/>
        <v>0</v>
      </c>
      <c r="Q6" s="164"/>
      <c r="R6" s="161">
        <v>45651</v>
      </c>
      <c r="S6" s="11" t="str">
        <v>Christmas Day</v>
      </c>
      <c r="T6" s="11" t="e">
        <v>#N/A</v>
      </c>
      <c r="U6" s="11"/>
      <c r="V6" s="11"/>
    </row>
    <row r="7" spans="2:22" x14ac:dyDescent="0.25">
      <c r="B7" s="154" t="str">
        <v>Agree Stakeholder Expectations after Initial Review</v>
      </c>
      <c r="C7" s="153">
        <v>0.95</v>
      </c>
      <c r="D7" s="151" t="str">
        <v>1.1.4</v>
      </c>
      <c r="E7" s="154" t="str">
        <v>Clara Bennett</v>
      </c>
      <c r="F7" s="154" t="str">
        <v>Product Owner</v>
      </c>
      <c r="G7" s="163">
        <v>45677</v>
      </c>
      <c r="H7" s="163">
        <v>45681</v>
      </c>
      <c r="I7" s="166">
        <v>5</v>
      </c>
      <c r="J7" s="166">
        <v>3</v>
      </c>
      <c r="K7" s="168">
        <v>2</v>
      </c>
      <c r="L7" s="168">
        <v>5</v>
      </c>
      <c r="M7" s="168">
        <v>0</v>
      </c>
      <c r="N7" s="324">
        <f>IF(I7&gt;0,(_xlfn.XLOOKUP(E7,tbl_staff_list[Name],tbl_staff_list[Daily_Rate],0,0))*J7,"")</f>
        <v>96</v>
      </c>
      <c r="O7" s="324">
        <f>IF(I7&gt;0,(_xlfn.XLOOKUP(E7,tbl_staff_list[Name],tbl_staff_list[Daily_Rate],0,0))*I7,"")</f>
        <v>160</v>
      </c>
      <c r="P7" s="326">
        <f t="shared" si="0"/>
        <v>0.66666666666666663</v>
      </c>
      <c r="Q7" s="165"/>
      <c r="R7" s="162">
        <v>45652</v>
      </c>
      <c r="S7" s="11" t="str">
        <v>Boxing Day</v>
      </c>
      <c r="T7" s="11" t="e">
        <v>#N/A</v>
      </c>
      <c r="U7" s="11"/>
      <c r="V7" s="11"/>
    </row>
    <row r="8" spans="2:22" x14ac:dyDescent="0.25">
      <c r="B8" s="154" t="str">
        <v>Define Objectives and Key Performance Indicators (KPIs,etc.)</v>
      </c>
      <c r="C8" s="152">
        <v>0.95</v>
      </c>
      <c r="D8" s="151" t="str">
        <v>1.1.5</v>
      </c>
      <c r="E8" s="154" t="str">
        <v>Liam O'Connor</v>
      </c>
      <c r="F8" s="154" t="str">
        <v>Business Analyst</v>
      </c>
      <c r="G8" s="163">
        <v>45684</v>
      </c>
      <c r="H8" s="163">
        <v>45687</v>
      </c>
      <c r="I8" s="166">
        <v>4</v>
      </c>
      <c r="J8" s="166">
        <v>5</v>
      </c>
      <c r="K8" s="167">
        <v>-1</v>
      </c>
      <c r="L8" s="167">
        <v>4</v>
      </c>
      <c r="M8" s="167">
        <v>0</v>
      </c>
      <c r="N8" s="324">
        <f>IF(I8&gt;0,(_xlfn.XLOOKUP(E8,tbl_staff_list[Name],tbl_staff_list[Daily_Rate],0,0))*J8,"")</f>
        <v>175</v>
      </c>
      <c r="O8" s="324">
        <f>IF(I8&gt;0,(_xlfn.XLOOKUP(E8,tbl_staff_list[Name],tbl_staff_list[Daily_Rate],0,0))*I8,"")</f>
        <v>140</v>
      </c>
      <c r="P8" s="326">
        <f t="shared" si="0"/>
        <v>-0.2</v>
      </c>
      <c r="Q8" s="164"/>
      <c r="R8" s="161">
        <v>45658</v>
      </c>
      <c r="S8" s="11" t="str">
        <v>New Year’s Day</v>
      </c>
      <c r="T8" s="11" t="e">
        <v>#N/A</v>
      </c>
      <c r="U8" s="11"/>
      <c r="V8" s="11"/>
    </row>
    <row r="9" spans="2:22" x14ac:dyDescent="0.25">
      <c r="B9" s="154" t="str">
        <v>Identify New Functionality and Enhancements</v>
      </c>
      <c r="C9" s="153">
        <v>0.95</v>
      </c>
      <c r="D9" s="151" t="str">
        <v>1.2.1</v>
      </c>
      <c r="E9" s="154" t="str">
        <v>James Whitmore</v>
      </c>
      <c r="F9" s="154" t="str">
        <v>Business Analyst</v>
      </c>
      <c r="G9" s="163">
        <v>45688</v>
      </c>
      <c r="H9" s="163">
        <v>45699</v>
      </c>
      <c r="I9" s="166">
        <v>8</v>
      </c>
      <c r="J9" s="166">
        <v>10</v>
      </c>
      <c r="K9" s="168">
        <v>-2</v>
      </c>
      <c r="L9" s="168">
        <v>12</v>
      </c>
      <c r="M9" s="168">
        <v>0</v>
      </c>
      <c r="N9" s="324">
        <f>IF(I9&gt;0,(_xlfn.XLOOKUP(E9,tbl_staff_list[Name],tbl_staff_list[Daily_Rate],0,0))*J9,"")</f>
        <v>320</v>
      </c>
      <c r="O9" s="324">
        <f>IF(I9&gt;0,(_xlfn.XLOOKUP(E9,tbl_staff_list[Name],tbl_staff_list[Daily_Rate],0,0))*I9,"")</f>
        <v>256</v>
      </c>
      <c r="P9" s="326">
        <f t="shared" si="0"/>
        <v>-0.2</v>
      </c>
      <c r="Q9" s="165"/>
      <c r="R9" s="162"/>
      <c r="S9" s="11"/>
      <c r="T9" s="11"/>
      <c r="U9" s="11"/>
      <c r="V9" s="11"/>
    </row>
    <row r="10" spans="2:22" x14ac:dyDescent="0.25">
      <c r="B10" s="154" t="str">
        <v>Identify and Document Non-Functional Requirements</v>
      </c>
      <c r="C10" s="152">
        <v>1</v>
      </c>
      <c r="D10" s="151" t="str">
        <v>1.2.2</v>
      </c>
      <c r="E10" s="154" t="str">
        <v>Adam Kowalski</v>
      </c>
      <c r="F10" s="154" t="str">
        <v>Server Developer</v>
      </c>
      <c r="G10" s="163">
        <v>45684</v>
      </c>
      <c r="H10" s="163">
        <v>45707</v>
      </c>
      <c r="I10" s="166">
        <v>11</v>
      </c>
      <c r="J10" s="166">
        <v>10</v>
      </c>
      <c r="K10" s="167">
        <v>1</v>
      </c>
      <c r="L10" s="167">
        <v>24</v>
      </c>
      <c r="M10" s="167">
        <v>7</v>
      </c>
      <c r="N10" s="324">
        <f>IF(I10&gt;0,(_xlfn.XLOOKUP(E10,tbl_staff_list[Name],tbl_staff_list[Daily_Rate],0,0))*J10,"")</f>
        <v>270</v>
      </c>
      <c r="O10" s="324">
        <f>IF(I10&gt;0,(_xlfn.XLOOKUP(E10,tbl_staff_list[Name],tbl_staff_list[Daily_Rate],0,0))*I10,"")</f>
        <v>297</v>
      </c>
      <c r="P10" s="326">
        <f t="shared" si="0"/>
        <v>0.1</v>
      </c>
      <c r="Q10" s="164"/>
      <c r="R10" s="161"/>
      <c r="S10" s="11"/>
      <c r="T10" s="11"/>
      <c r="U10" s="11"/>
      <c r="V10" s="11"/>
    </row>
    <row r="11" spans="2:22" x14ac:dyDescent="0.25">
      <c r="B11" s="154" t="str">
        <v>User Stories to Functional Mapping and Enhancements</v>
      </c>
      <c r="C11" s="153">
        <v>0.95</v>
      </c>
      <c r="D11" s="151" t="str">
        <v>1.2.3</v>
      </c>
      <c r="E11" s="154" t="str">
        <v>Priya Sharma</v>
      </c>
      <c r="F11" s="154" t="str">
        <v>Database Developer</v>
      </c>
      <c r="G11" s="163">
        <v>45688</v>
      </c>
      <c r="H11" s="163">
        <v>45698</v>
      </c>
      <c r="I11" s="166">
        <v>7</v>
      </c>
      <c r="J11" s="166">
        <v>5</v>
      </c>
      <c r="K11" s="168">
        <v>2</v>
      </c>
      <c r="L11" s="168">
        <v>11</v>
      </c>
      <c r="M11" s="168">
        <v>0</v>
      </c>
      <c r="N11" s="324">
        <f>IF(I11&gt;0,(_xlfn.XLOOKUP(E11,tbl_staff_list[Name],tbl_staff_list[Daily_Rate],0,0))*J11,"")</f>
        <v>125</v>
      </c>
      <c r="O11" s="324">
        <f>IF(I11&gt;0,(_xlfn.XLOOKUP(E11,tbl_staff_list[Name],tbl_staff_list[Daily_Rate],0,0))*I11,"")</f>
        <v>175</v>
      </c>
      <c r="P11" s="326">
        <f t="shared" si="0"/>
        <v>0.4</v>
      </c>
      <c r="Q11" s="165"/>
      <c r="R11" s="162"/>
      <c r="S11" s="11"/>
      <c r="T11" s="11"/>
      <c r="U11" s="11"/>
      <c r="V11" s="11"/>
    </row>
    <row r="12" spans="2:22" x14ac:dyDescent="0.25">
      <c r="B12" s="154" t="str">
        <v>Prioritise Stories and Requirements with Stakeholders</v>
      </c>
      <c r="C12" s="152">
        <v>0.95</v>
      </c>
      <c r="D12" s="151" t="str">
        <v>1.2.4</v>
      </c>
      <c r="E12" s="154" t="str">
        <v>Clara Bennett</v>
      </c>
      <c r="F12" s="154" t="str">
        <v>Product Owner</v>
      </c>
      <c r="G12" s="163">
        <v>45699</v>
      </c>
      <c r="H12" s="163">
        <v>45702</v>
      </c>
      <c r="I12" s="166">
        <v>4</v>
      </c>
      <c r="J12" s="166">
        <v>3</v>
      </c>
      <c r="K12" s="167">
        <v>1</v>
      </c>
      <c r="L12" s="167">
        <v>4</v>
      </c>
      <c r="M12" s="167">
        <v>0</v>
      </c>
      <c r="N12" s="324">
        <f>IF(I12&gt;0,(_xlfn.XLOOKUP(E12,tbl_staff_list[Name],tbl_staff_list[Daily_Rate],0,0))*J12,"")</f>
        <v>96</v>
      </c>
      <c r="O12" s="324">
        <f>IF(I12&gt;0,(_xlfn.XLOOKUP(E12,tbl_staff_list[Name],tbl_staff_list[Daily_Rate],0,0))*I12,"")</f>
        <v>128</v>
      </c>
      <c r="P12" s="326">
        <f t="shared" si="0"/>
        <v>0.33333333333333331</v>
      </c>
      <c r="Q12" s="164"/>
      <c r="R12" s="161"/>
      <c r="S12" s="11"/>
      <c r="T12" s="11"/>
      <c r="U12" s="11"/>
      <c r="V12" s="11"/>
    </row>
    <row r="13" spans="2:22" x14ac:dyDescent="0.25">
      <c r="B13" s="154"/>
      <c r="C13" s="153"/>
      <c r="D13" s="151"/>
      <c r="E13" s="154"/>
      <c r="F13" s="154"/>
      <c r="G13" s="163"/>
      <c r="H13" s="163"/>
      <c r="I13" s="166"/>
      <c r="J13" s="166"/>
      <c r="K13" s="167"/>
      <c r="L13" s="167"/>
      <c r="M13" s="167"/>
      <c r="N13" s="324" t="str">
        <f>IF(I13&gt;0,(_xlfn.XLOOKUP(E13,tbl_staff_list[Name],tbl_staff_list[Daily_Rate],0,0))*J13,"")</f>
        <v/>
      </c>
      <c r="O13" s="324" t="str">
        <f>IF(I13&gt;0,(_xlfn.XLOOKUP(E13,tbl_staff_list[Name],tbl_staff_list[Daily_Rate],0,0))*I13,"")</f>
        <v/>
      </c>
      <c r="P13" s="326" t="str">
        <f t="shared" si="0"/>
        <v/>
      </c>
      <c r="Q13" s="164"/>
      <c r="R13" s="161"/>
      <c r="S13" s="11"/>
      <c r="T13" s="11"/>
      <c r="U13" s="11"/>
      <c r="V13" s="11"/>
    </row>
    <row r="14" spans="2:22" x14ac:dyDescent="0.25">
      <c r="B14" s="154"/>
      <c r="C14" s="152"/>
      <c r="D14" s="151"/>
      <c r="E14" s="154"/>
      <c r="F14" s="154"/>
      <c r="G14" s="163"/>
      <c r="H14" s="163"/>
      <c r="I14" s="166"/>
      <c r="J14" s="166"/>
      <c r="K14" s="168"/>
      <c r="L14" s="168"/>
      <c r="M14" s="168"/>
      <c r="N14" s="324" t="str">
        <f>IF(I14&gt;0,(_xlfn.XLOOKUP(E14,tbl_staff_list[Name],tbl_staff_list[Daily_Rate],0,0))*J14,"")</f>
        <v/>
      </c>
      <c r="O14" s="324" t="str">
        <f>IF(I14&gt;0,(_xlfn.XLOOKUP(E14,tbl_staff_list[Name],tbl_staff_list[Daily_Rate],0,0))*I14,"")</f>
        <v/>
      </c>
      <c r="P14" s="326" t="str">
        <f t="shared" si="0"/>
        <v/>
      </c>
      <c r="Q14" s="165"/>
      <c r="R14" s="162"/>
      <c r="S14" s="11"/>
      <c r="T14" s="11"/>
      <c r="U14" s="11"/>
      <c r="V14" s="11"/>
    </row>
    <row r="15" spans="2:22" x14ac:dyDescent="0.25">
      <c r="B15" s="154"/>
      <c r="C15" s="153"/>
      <c r="D15" s="151"/>
      <c r="E15" s="154"/>
      <c r="F15" s="154"/>
      <c r="G15" s="163"/>
      <c r="H15" s="163"/>
      <c r="I15" s="166"/>
      <c r="J15" s="166"/>
      <c r="K15" s="168"/>
      <c r="L15" s="168"/>
      <c r="M15" s="168"/>
      <c r="N15" s="324" t="str">
        <f>IF(I15&gt;0,(_xlfn.XLOOKUP(E15,tbl_staff_list[Name],tbl_staff_list[Daily_Rate],0,0))*J15,"")</f>
        <v/>
      </c>
      <c r="O15" s="324" t="str">
        <f>IF(I15&gt;0,(_xlfn.XLOOKUP(E15,tbl_staff_list[Name],tbl_staff_list[Daily_Rate],0,0))*I15,"")</f>
        <v/>
      </c>
      <c r="P15" s="326" t="str">
        <f t="shared" si="0"/>
        <v/>
      </c>
      <c r="Q15" s="165"/>
      <c r="R15" s="162"/>
      <c r="S15" s="11"/>
      <c r="T15" s="11"/>
      <c r="U15" s="11"/>
      <c r="V15" s="11"/>
    </row>
    <row r="16" spans="2:22" x14ac:dyDescent="0.25">
      <c r="B16" s="154"/>
      <c r="C16" s="152"/>
      <c r="D16" s="151"/>
      <c r="E16" s="154"/>
      <c r="F16" s="154"/>
      <c r="G16" s="163"/>
      <c r="H16" s="163"/>
      <c r="I16" s="166"/>
      <c r="J16" s="166"/>
      <c r="K16" s="167"/>
      <c r="L16" s="167"/>
      <c r="M16" s="167"/>
      <c r="N16" s="324" t="str">
        <f>IF(I16&gt;0,(_xlfn.XLOOKUP(E16,tbl_staff_list[Name],tbl_staff_list[Daily_Rate],0,0))*J16,"")</f>
        <v/>
      </c>
      <c r="O16" s="324" t="str">
        <f>IF(I16&gt;0,(_xlfn.XLOOKUP(E16,tbl_staff_list[Name],tbl_staff_list[Daily_Rate],0,0))*I16,"")</f>
        <v/>
      </c>
      <c r="P16" s="326" t="str">
        <f t="shared" si="0"/>
        <v/>
      </c>
      <c r="Q16" s="164"/>
      <c r="R16" s="161"/>
      <c r="S16" s="11"/>
      <c r="T16" s="11"/>
      <c r="U16" s="11"/>
      <c r="V16" s="11"/>
    </row>
    <row r="17" spans="2:22" x14ac:dyDescent="0.25">
      <c r="B17" s="154"/>
      <c r="C17" s="152"/>
      <c r="D17" s="151"/>
      <c r="E17" s="154"/>
      <c r="F17" s="154"/>
      <c r="G17" s="163"/>
      <c r="H17" s="163"/>
      <c r="I17" s="166"/>
      <c r="J17" s="166"/>
      <c r="K17" s="167"/>
      <c r="L17" s="167"/>
      <c r="M17" s="167"/>
      <c r="N17" s="324" t="str">
        <f>IF(I17&gt;0,(_xlfn.XLOOKUP(E17,tbl_staff_list[Name],tbl_staff_list[Daily_Rate],0,0))*J17,"")</f>
        <v/>
      </c>
      <c r="O17" s="324" t="str">
        <f>IF(I17&gt;0,(_xlfn.XLOOKUP(E17,tbl_staff_list[Name],tbl_staff_list[Daily_Rate],0,0))*I17,"")</f>
        <v/>
      </c>
      <c r="P17" s="326" t="str">
        <f t="shared" si="0"/>
        <v/>
      </c>
      <c r="Q17" s="165"/>
      <c r="R17" s="162"/>
      <c r="S17" s="11"/>
      <c r="T17" s="11"/>
      <c r="U17" s="11"/>
      <c r="V17" s="11"/>
    </row>
    <row r="18" spans="2:22" x14ac:dyDescent="0.25">
      <c r="B18" s="154"/>
      <c r="C18" s="152"/>
      <c r="D18" s="151"/>
      <c r="E18" s="154"/>
      <c r="F18" s="154"/>
      <c r="G18" s="163"/>
      <c r="H18" s="163"/>
      <c r="I18" s="166"/>
      <c r="J18" s="166"/>
      <c r="K18" s="167"/>
      <c r="L18" s="167"/>
      <c r="M18" s="167"/>
      <c r="N18" s="324" t="str">
        <f>IF(I18&gt;0,(_xlfn.XLOOKUP(E18,tbl_staff_list[Name],tbl_staff_list[Daily_Rate],0,0))*J18,"")</f>
        <v/>
      </c>
      <c r="O18" s="324" t="str">
        <f>IF(I18&gt;0,(_xlfn.XLOOKUP(E18,tbl_staff_list[Name],tbl_staff_list[Daily_Rate],0,0))*I18,"")</f>
        <v/>
      </c>
      <c r="P18" s="326" t="str">
        <f t="shared" si="0"/>
        <v/>
      </c>
      <c r="Q18" s="164"/>
      <c r="R18" s="161"/>
      <c r="S18" s="11"/>
      <c r="T18" s="11"/>
      <c r="U18" s="11"/>
      <c r="V18" s="11"/>
    </row>
    <row r="19" spans="2:22" x14ac:dyDescent="0.25">
      <c r="B19" s="154"/>
      <c r="C19" s="152"/>
      <c r="D19" s="151"/>
      <c r="E19" s="154"/>
      <c r="F19" s="154"/>
      <c r="G19" s="163"/>
      <c r="H19" s="163"/>
      <c r="I19" s="166"/>
      <c r="J19" s="166"/>
      <c r="K19" s="167"/>
      <c r="L19" s="167"/>
      <c r="M19" s="167"/>
      <c r="N19" s="324" t="str">
        <f>IF(I19&gt;0,(_xlfn.XLOOKUP(E19,tbl_staff_list[Name],tbl_staff_list[Daily_Rate],0,0))*J19,"")</f>
        <v/>
      </c>
      <c r="O19" s="324" t="str">
        <f>IF(I19&gt;0,(_xlfn.XLOOKUP(E19,tbl_staff_list[Name],tbl_staff_list[Daily_Rate],0,0))*I19,"")</f>
        <v/>
      </c>
      <c r="P19" s="326" t="str">
        <f t="shared" si="0"/>
        <v/>
      </c>
      <c r="Q19" s="165"/>
      <c r="R19" s="162"/>
      <c r="S19" s="11"/>
      <c r="T19" s="11"/>
      <c r="U19" s="11"/>
      <c r="V19" s="11"/>
    </row>
    <row r="20" spans="2:22" x14ac:dyDescent="0.25">
      <c r="B20" s="154"/>
      <c r="C20" s="152"/>
      <c r="D20" s="151"/>
      <c r="E20" s="154"/>
      <c r="F20" s="154"/>
      <c r="G20" s="163"/>
      <c r="H20" s="163"/>
      <c r="I20" s="166"/>
      <c r="J20" s="166"/>
      <c r="K20" s="167"/>
      <c r="L20" s="167"/>
      <c r="M20" s="167"/>
      <c r="N20" s="324" t="str">
        <f>IF(I20&gt;0,(_xlfn.XLOOKUP(E20,tbl_staff_list[Name],tbl_staff_list[Daily_Rate],0,0))*J20,"")</f>
        <v/>
      </c>
      <c r="O20" s="324" t="str">
        <f>IF(I20&gt;0,(_xlfn.XLOOKUP(E20,tbl_staff_list[Name],tbl_staff_list[Daily_Rate],0,0))*I20,"")</f>
        <v/>
      </c>
      <c r="P20" s="326" t="str">
        <f t="shared" si="0"/>
        <v/>
      </c>
      <c r="Q20" s="164"/>
      <c r="R20" s="161"/>
      <c r="S20" s="11"/>
      <c r="T20" s="11"/>
      <c r="U20" s="11"/>
      <c r="V20" s="11"/>
    </row>
    <row r="21" spans="2:22" x14ac:dyDescent="0.25">
      <c r="B21" s="154"/>
      <c r="C21" s="152"/>
      <c r="D21" s="151"/>
      <c r="E21" s="154"/>
      <c r="F21" s="154"/>
      <c r="G21" s="163"/>
      <c r="H21" s="163"/>
      <c r="I21" s="166"/>
      <c r="J21" s="166"/>
      <c r="K21" s="167"/>
      <c r="L21" s="167"/>
      <c r="M21" s="167"/>
      <c r="N21" s="324" t="str">
        <f>IF(I21&gt;0,(_xlfn.XLOOKUP(E21,tbl_staff_list[Name],tbl_staff_list[Daily_Rate],0,0))*J21,"")</f>
        <v/>
      </c>
      <c r="O21" s="324" t="str">
        <f>IF(I21&gt;0,(_xlfn.XLOOKUP(E21,tbl_staff_list[Name],tbl_staff_list[Daily_Rate],0,0))*I21,"")</f>
        <v/>
      </c>
      <c r="P21" s="326" t="str">
        <f t="shared" si="0"/>
        <v/>
      </c>
      <c r="Q21" s="165"/>
      <c r="R21" s="162"/>
      <c r="S21" s="11"/>
      <c r="T21" s="11"/>
      <c r="U21" s="11"/>
      <c r="V21" s="11"/>
    </row>
    <row r="22" spans="2:22" x14ac:dyDescent="0.25">
      <c r="B22" s="154"/>
      <c r="C22" s="152"/>
      <c r="D22" s="151"/>
      <c r="E22" s="154"/>
      <c r="F22" s="154"/>
      <c r="G22" s="163"/>
      <c r="H22" s="163"/>
      <c r="I22" s="166"/>
      <c r="J22" s="166"/>
      <c r="K22" s="167"/>
      <c r="L22" s="167"/>
      <c r="M22" s="167"/>
      <c r="N22" s="324" t="str">
        <f>IF(I22&gt;0,(_xlfn.XLOOKUP(E22,tbl_staff_list[Name],tbl_staff_list[Daily_Rate],0,0))*J22,"")</f>
        <v/>
      </c>
      <c r="O22" s="324" t="str">
        <f>IF(I22&gt;0,(_xlfn.XLOOKUP(E22,tbl_staff_list[Name],tbl_staff_list[Daily_Rate],0,0))*I22,"")</f>
        <v/>
      </c>
      <c r="P22" s="326" t="str">
        <f t="shared" si="0"/>
        <v/>
      </c>
      <c r="Q22" s="164"/>
      <c r="R22" s="161"/>
      <c r="S22" s="11"/>
      <c r="T22" s="11"/>
      <c r="U22" s="11"/>
      <c r="V22" s="11"/>
    </row>
    <row r="23" spans="2:22" x14ac:dyDescent="0.25">
      <c r="B23" s="154"/>
      <c r="C23" s="152"/>
      <c r="D23" s="151"/>
      <c r="E23" s="154"/>
      <c r="F23" s="154"/>
      <c r="G23" s="163"/>
      <c r="H23" s="163"/>
      <c r="I23" s="166"/>
      <c r="J23" s="166"/>
      <c r="K23" s="167"/>
      <c r="L23" s="167"/>
      <c r="M23" s="167"/>
      <c r="N23" s="324" t="str">
        <f>IF(I23&gt;0,(_xlfn.XLOOKUP(E23,tbl_staff_list[Name],tbl_staff_list[Daily_Rate],0,0))*J23,"")</f>
        <v/>
      </c>
      <c r="O23" s="324" t="str">
        <f>IF(I23&gt;0,(_xlfn.XLOOKUP(E23,tbl_staff_list[Name],tbl_staff_list[Daily_Rate],0,0))*I23,"")</f>
        <v/>
      </c>
      <c r="P23" s="326" t="str">
        <f t="shared" si="0"/>
        <v/>
      </c>
      <c r="Q23" s="165"/>
      <c r="R23" s="162"/>
      <c r="S23" s="11"/>
      <c r="T23" s="11"/>
      <c r="U23" s="11"/>
      <c r="V23" s="11"/>
    </row>
    <row r="24" spans="2:22" x14ac:dyDescent="0.25">
      <c r="B24" s="154"/>
      <c r="C24" s="152"/>
      <c r="D24" s="151"/>
      <c r="E24" s="154"/>
      <c r="F24" s="154"/>
      <c r="G24" s="163"/>
      <c r="H24" s="163"/>
      <c r="I24" s="166"/>
      <c r="J24" s="166"/>
      <c r="K24" s="167"/>
      <c r="L24" s="167"/>
      <c r="M24" s="167"/>
      <c r="N24" s="324" t="str">
        <f>IF(I24&gt;0,(_xlfn.XLOOKUP(E24,tbl_staff_list[Name],tbl_staff_list[Daily_Rate],0,0))*J24,"")</f>
        <v/>
      </c>
      <c r="O24" s="324" t="str">
        <f>IF(I24&gt;0,(_xlfn.XLOOKUP(E24,tbl_staff_list[Name],tbl_staff_list[Daily_Rate],0,0))*I24,"")</f>
        <v/>
      </c>
      <c r="P24" s="326" t="str">
        <f t="shared" si="0"/>
        <v/>
      </c>
      <c r="Q24" s="164"/>
      <c r="R24" s="161"/>
      <c r="S24" s="11"/>
      <c r="T24" s="11"/>
      <c r="U24" s="11"/>
      <c r="V24" s="11"/>
    </row>
    <row r="25" spans="2:22" x14ac:dyDescent="0.25">
      <c r="B25" s="154"/>
      <c r="C25" s="152"/>
      <c r="D25" s="151"/>
      <c r="E25" s="154"/>
      <c r="F25" s="154"/>
      <c r="G25" s="163"/>
      <c r="H25" s="163"/>
      <c r="I25" s="166"/>
      <c r="J25" s="166"/>
      <c r="K25" s="167"/>
      <c r="L25" s="167"/>
      <c r="M25" s="167"/>
      <c r="N25" s="324" t="str">
        <f>IF(I25&gt;0,(_xlfn.XLOOKUP(E25,tbl_staff_list[Name],tbl_staff_list[Daily_Rate],0,0))*J25,"")</f>
        <v/>
      </c>
      <c r="O25" s="324" t="str">
        <f>IF(I25&gt;0,(_xlfn.XLOOKUP(E25,tbl_staff_list[Name],tbl_staff_list[Daily_Rate],0,0))*I25,"")</f>
        <v/>
      </c>
      <c r="P25" s="326" t="str">
        <f t="shared" si="0"/>
        <v/>
      </c>
      <c r="Q25" s="165"/>
      <c r="R25" s="162"/>
      <c r="S25" s="11"/>
      <c r="T25" s="11"/>
      <c r="U25" s="11"/>
      <c r="V25" s="11"/>
    </row>
    <row r="26" spans="2:22" x14ac:dyDescent="0.25">
      <c r="B26" s="154"/>
      <c r="C26" s="152"/>
      <c r="D26" s="151"/>
      <c r="E26" s="154"/>
      <c r="F26" s="154"/>
      <c r="G26" s="163"/>
      <c r="H26" s="163"/>
      <c r="I26" s="166"/>
      <c r="J26" s="166"/>
      <c r="K26" s="167"/>
      <c r="L26" s="167"/>
      <c r="M26" s="167"/>
      <c r="N26" s="324" t="str">
        <f>IF(I26&gt;0,(_xlfn.XLOOKUP(E26,tbl_staff_list[Name],tbl_staff_list[Daily_Rate],0,0))*J26,"")</f>
        <v/>
      </c>
      <c r="O26" s="324" t="str">
        <f>IF(I26&gt;0,(_xlfn.XLOOKUP(E26,tbl_staff_list[Name],tbl_staff_list[Daily_Rate],0,0))*I26,"")</f>
        <v/>
      </c>
      <c r="P26" s="326" t="str">
        <f t="shared" si="0"/>
        <v/>
      </c>
      <c r="Q26" s="164"/>
      <c r="R26" s="161"/>
      <c r="S26" s="11"/>
      <c r="T26" s="11"/>
      <c r="U26" s="11"/>
      <c r="V26" s="11"/>
    </row>
    <row r="27" spans="2:22" x14ac:dyDescent="0.25">
      <c r="B27" s="154"/>
      <c r="C27" s="152"/>
      <c r="D27" s="151"/>
      <c r="E27" s="154"/>
      <c r="F27" s="154"/>
      <c r="G27" s="163"/>
      <c r="H27" s="163"/>
      <c r="I27" s="166"/>
      <c r="J27" s="166"/>
      <c r="K27" s="167"/>
      <c r="L27" s="167"/>
      <c r="M27" s="167"/>
      <c r="N27" s="324" t="str">
        <f>IF(I27&gt;0,(_xlfn.XLOOKUP(E27,tbl_staff_list[Name],tbl_staff_list[Daily_Rate],0,0))*J27,"")</f>
        <v/>
      </c>
      <c r="O27" s="324" t="str">
        <f>IF(I27&gt;0,(_xlfn.XLOOKUP(E27,tbl_staff_list[Name],tbl_staff_list[Daily_Rate],0,0))*I27,"")</f>
        <v/>
      </c>
      <c r="P27" s="326" t="str">
        <f t="shared" si="0"/>
        <v/>
      </c>
      <c r="Q27" s="165"/>
      <c r="R27" s="162"/>
      <c r="S27" s="11"/>
      <c r="T27" s="11"/>
      <c r="U27" s="11"/>
      <c r="V27" s="11"/>
    </row>
    <row r="28" spans="2:22" x14ac:dyDescent="0.25">
      <c r="B28" s="154"/>
      <c r="C28" s="152"/>
      <c r="D28" s="151"/>
      <c r="E28" s="154"/>
      <c r="F28" s="154"/>
      <c r="G28" s="163"/>
      <c r="H28" s="163"/>
      <c r="I28" s="166"/>
      <c r="J28" s="166"/>
      <c r="K28" s="167"/>
      <c r="L28" s="167"/>
      <c r="M28" s="167"/>
      <c r="N28" s="324" t="str">
        <f>IF(I28&gt;0,(_xlfn.XLOOKUP(E28,tbl_staff_list[Name],tbl_staff_list[Daily_Rate],0,0))*J28,"")</f>
        <v/>
      </c>
      <c r="O28" s="324" t="str">
        <f>IF(I28&gt;0,(_xlfn.XLOOKUP(E28,tbl_staff_list[Name],tbl_staff_list[Daily_Rate],0,0))*I28,"")</f>
        <v/>
      </c>
      <c r="P28" s="326" t="str">
        <f t="shared" si="0"/>
        <v/>
      </c>
      <c r="Q28" s="164"/>
      <c r="R28" s="161"/>
      <c r="S28" s="11"/>
      <c r="T28" s="11"/>
      <c r="U28" s="11"/>
      <c r="V28" s="11"/>
    </row>
    <row r="29" spans="2:22" x14ac:dyDescent="0.25">
      <c r="B29" s="154"/>
      <c r="C29" s="152"/>
      <c r="D29" s="151"/>
      <c r="E29" s="154"/>
      <c r="F29" s="154"/>
      <c r="G29" s="163"/>
      <c r="H29" s="163"/>
      <c r="I29" s="166"/>
      <c r="J29" s="166"/>
      <c r="K29" s="167"/>
      <c r="L29" s="167"/>
      <c r="M29" s="167"/>
      <c r="N29" s="324" t="str">
        <f>IF(I29&gt;0,(_xlfn.XLOOKUP(E29,tbl_staff_list[Name],tbl_staff_list[Daily_Rate],0,0))*J29,"")</f>
        <v/>
      </c>
      <c r="O29" s="324" t="str">
        <f>IF(I29&gt;0,(_xlfn.XLOOKUP(E29,tbl_staff_list[Name],tbl_staff_list[Daily_Rate],0,0))*I29,"")</f>
        <v/>
      </c>
      <c r="P29" s="326" t="str">
        <f t="shared" si="0"/>
        <v/>
      </c>
      <c r="Q29" s="165"/>
      <c r="R29" s="162"/>
      <c r="S29" s="11"/>
      <c r="T29" s="11"/>
      <c r="U29" s="11"/>
      <c r="V29" s="11"/>
    </row>
    <row r="30" spans="2:22" x14ac:dyDescent="0.25">
      <c r="B30" s="154"/>
      <c r="C30" s="152"/>
      <c r="D30" s="151"/>
      <c r="E30" s="154"/>
      <c r="F30" s="154"/>
      <c r="G30" s="163"/>
      <c r="H30" s="163"/>
      <c r="I30" s="166"/>
      <c r="J30" s="166"/>
      <c r="K30" s="167"/>
      <c r="L30" s="167"/>
      <c r="M30" s="167"/>
      <c r="N30" s="324" t="str">
        <f>IF(I30&gt;0,(_xlfn.XLOOKUP(E30,tbl_staff_list[Name],tbl_staff_list[Daily_Rate],0,0))*J30,"")</f>
        <v/>
      </c>
      <c r="O30" s="324" t="str">
        <f>IF(I30&gt;0,(_xlfn.XLOOKUP(E30,tbl_staff_list[Name],tbl_staff_list[Daily_Rate],0,0))*I30,"")</f>
        <v/>
      </c>
      <c r="P30" s="326" t="str">
        <f t="shared" si="0"/>
        <v/>
      </c>
      <c r="Q30" s="164"/>
      <c r="R30" s="161"/>
      <c r="S30" s="11"/>
      <c r="T30" s="11"/>
      <c r="U30" s="11"/>
      <c r="V30" s="11"/>
    </row>
    <row r="31" spans="2:22" x14ac:dyDescent="0.25">
      <c r="B31" s="154"/>
      <c r="C31" s="152"/>
      <c r="D31" s="151"/>
      <c r="E31" s="154"/>
      <c r="F31" s="154"/>
      <c r="G31" s="163"/>
      <c r="H31" s="163"/>
      <c r="I31" s="166"/>
      <c r="J31" s="166"/>
      <c r="K31" s="167"/>
      <c r="L31" s="167"/>
      <c r="M31" s="167"/>
      <c r="N31" s="324" t="str">
        <f>IF(I31&gt;0,(_xlfn.XLOOKUP(E31,tbl_staff_list[Name],tbl_staff_list[Daily_Rate],0,0))*J31,"")</f>
        <v/>
      </c>
      <c r="O31" s="324" t="str">
        <f>IF(I31&gt;0,(_xlfn.XLOOKUP(E31,tbl_staff_list[Name],tbl_staff_list[Daily_Rate],0,0))*I31,"")</f>
        <v/>
      </c>
      <c r="P31" s="326" t="str">
        <f t="shared" si="0"/>
        <v/>
      </c>
      <c r="Q31" s="165"/>
      <c r="R31" s="162"/>
      <c r="S31" s="11"/>
      <c r="T31" s="11"/>
      <c r="U31" s="11"/>
      <c r="V31" s="11"/>
    </row>
    <row r="32" spans="2:22" x14ac:dyDescent="0.25">
      <c r="B32" s="154"/>
      <c r="C32" s="152"/>
      <c r="D32" s="151"/>
      <c r="E32" s="154"/>
      <c r="F32" s="154"/>
      <c r="G32" s="163"/>
      <c r="H32" s="163"/>
      <c r="I32" s="166"/>
      <c r="J32" s="166"/>
      <c r="K32" s="167"/>
      <c r="L32" s="167"/>
      <c r="M32" s="167"/>
      <c r="N32" s="324" t="str">
        <f>IF(I32&gt;0,(_xlfn.XLOOKUP(E32,tbl_staff_list[Name],tbl_staff_list[Daily_Rate],0,0))*J32,"")</f>
        <v/>
      </c>
      <c r="O32" s="324" t="str">
        <f>IF(I32&gt;0,(_xlfn.XLOOKUP(E32,tbl_staff_list[Name],tbl_staff_list[Daily_Rate],0,0))*I32,"")</f>
        <v/>
      </c>
      <c r="P32" s="326" t="str">
        <f t="shared" si="0"/>
        <v/>
      </c>
      <c r="Q32" s="164"/>
      <c r="R32" s="161"/>
      <c r="S32" s="11"/>
      <c r="T32" s="11"/>
      <c r="U32" s="11"/>
      <c r="V32" s="11"/>
    </row>
    <row r="33" spans="2:22" x14ac:dyDescent="0.25">
      <c r="B33" s="154"/>
      <c r="C33" s="152"/>
      <c r="D33" s="151"/>
      <c r="E33" s="154"/>
      <c r="F33" s="154"/>
      <c r="G33" s="163"/>
      <c r="H33" s="163"/>
      <c r="I33" s="166"/>
      <c r="J33" s="166"/>
      <c r="K33" s="167"/>
      <c r="L33" s="167"/>
      <c r="M33" s="167"/>
      <c r="N33" s="324" t="str">
        <f>IF(I33&gt;0,(_xlfn.XLOOKUP(E33,tbl_staff_list[Name],tbl_staff_list[Daily_Rate],0,0))*J33,"")</f>
        <v/>
      </c>
      <c r="O33" s="324" t="str">
        <f>IF(I33&gt;0,(_xlfn.XLOOKUP(E33,tbl_staff_list[Name],tbl_staff_list[Daily_Rate],0,0))*I33,"")</f>
        <v/>
      </c>
      <c r="P33" s="326" t="str">
        <f t="shared" si="0"/>
        <v/>
      </c>
      <c r="Q33" s="165"/>
      <c r="R33" s="162"/>
      <c r="S33" s="11"/>
      <c r="T33" s="11"/>
      <c r="U33" s="11"/>
      <c r="V33" s="11"/>
    </row>
    <row r="34" spans="2:22" x14ac:dyDescent="0.25">
      <c r="B34" s="154"/>
      <c r="C34" s="152"/>
      <c r="D34" s="151"/>
      <c r="E34" s="154"/>
      <c r="F34" s="154"/>
      <c r="G34" s="163"/>
      <c r="H34" s="163"/>
      <c r="I34" s="166"/>
      <c r="J34" s="166"/>
      <c r="K34" s="167"/>
      <c r="L34" s="167"/>
      <c r="M34" s="167"/>
      <c r="N34" s="324" t="str">
        <f>IF(I34&gt;0,(_xlfn.XLOOKUP(E34,tbl_staff_list[Name],tbl_staff_list[Daily_Rate],0,0))*J34,"")</f>
        <v/>
      </c>
      <c r="O34" s="324" t="str">
        <f>IF(I34&gt;0,(_xlfn.XLOOKUP(E34,tbl_staff_list[Name],tbl_staff_list[Daily_Rate],0,0))*I34,"")</f>
        <v/>
      </c>
      <c r="P34" s="326" t="str">
        <f t="shared" si="0"/>
        <v/>
      </c>
      <c r="Q34" s="164"/>
      <c r="R34" s="161"/>
      <c r="S34" s="11"/>
      <c r="T34" s="11"/>
      <c r="U34" s="11"/>
      <c r="V34" s="11"/>
    </row>
    <row r="35" spans="2:22" x14ac:dyDescent="0.25">
      <c r="B35" s="154"/>
      <c r="C35" s="152"/>
      <c r="D35" s="151"/>
      <c r="E35" s="154"/>
      <c r="F35" s="154"/>
      <c r="G35" s="163"/>
      <c r="H35" s="163"/>
      <c r="I35" s="166"/>
      <c r="J35" s="166"/>
      <c r="K35" s="167"/>
      <c r="L35" s="167"/>
      <c r="M35" s="167"/>
      <c r="N35" s="324" t="str">
        <f>IF(I35&gt;0,(_xlfn.XLOOKUP(E35,tbl_staff_list[Name],tbl_staff_list[Daily_Rate],0,0))*J35,"")</f>
        <v/>
      </c>
      <c r="O35" s="324" t="str">
        <f>IF(I35&gt;0,(_xlfn.XLOOKUP(E35,tbl_staff_list[Name],tbl_staff_list[Daily_Rate],0,0))*I35,"")</f>
        <v/>
      </c>
      <c r="P35" s="326" t="str">
        <f t="shared" si="0"/>
        <v/>
      </c>
      <c r="Q35" s="165"/>
      <c r="R35" s="162"/>
      <c r="S35" s="11"/>
      <c r="T35" s="11"/>
      <c r="U35" s="11"/>
      <c r="V35" s="11"/>
    </row>
    <row r="36" spans="2:22" x14ac:dyDescent="0.25">
      <c r="B36" s="154"/>
      <c r="C36" s="152"/>
      <c r="D36" s="151"/>
      <c r="E36" s="154"/>
      <c r="F36" s="154"/>
      <c r="G36" s="163"/>
      <c r="H36" s="163"/>
      <c r="I36" s="166"/>
      <c r="J36" s="166"/>
      <c r="K36" s="167"/>
      <c r="L36" s="167"/>
      <c r="M36" s="167"/>
      <c r="N36" s="324" t="str">
        <f>IF(I36&gt;0,(_xlfn.XLOOKUP(E36,tbl_staff_list[Name],tbl_staff_list[Daily_Rate],0,0))*J36,"")</f>
        <v/>
      </c>
      <c r="O36" s="324" t="str">
        <f>IF(I36&gt;0,(_xlfn.XLOOKUP(E36,tbl_staff_list[Name],tbl_staff_list[Daily_Rate],0,0))*I36,"")</f>
        <v/>
      </c>
      <c r="P36" s="326" t="str">
        <f t="shared" si="0"/>
        <v/>
      </c>
      <c r="Q36" s="164"/>
      <c r="R36" s="161"/>
      <c r="S36" s="11"/>
      <c r="T36" s="11"/>
      <c r="U36" s="11"/>
      <c r="V36" s="11"/>
    </row>
    <row r="37" spans="2:22" x14ac:dyDescent="0.25">
      <c r="B37" s="154"/>
      <c r="C37" s="152"/>
      <c r="D37" s="151"/>
      <c r="E37" s="154"/>
      <c r="F37" s="154"/>
      <c r="G37" s="163"/>
      <c r="H37" s="163"/>
      <c r="I37" s="166"/>
      <c r="J37" s="166"/>
      <c r="K37" s="167"/>
      <c r="L37" s="167"/>
      <c r="M37" s="167"/>
      <c r="N37" s="324" t="str">
        <f>IF(I37&gt;0,(_xlfn.XLOOKUP(E37,tbl_staff_list[Name],tbl_staff_list[Daily_Rate],0,0))*J37,"")</f>
        <v/>
      </c>
      <c r="O37" s="324" t="str">
        <f>IF(I37&gt;0,(_xlfn.XLOOKUP(E37,tbl_staff_list[Name],tbl_staff_list[Daily_Rate],0,0))*I37,"")</f>
        <v/>
      </c>
      <c r="P37" s="326" t="str">
        <f t="shared" si="0"/>
        <v/>
      </c>
      <c r="Q37" s="165"/>
      <c r="R37" s="162"/>
      <c r="S37" s="11"/>
      <c r="T37" s="11"/>
      <c r="U37" s="11"/>
      <c r="V37" s="11"/>
    </row>
    <row r="38" spans="2:22" x14ac:dyDescent="0.25">
      <c r="B38" s="154"/>
      <c r="C38" s="152"/>
      <c r="D38" s="151"/>
      <c r="E38" s="154"/>
      <c r="F38" s="154"/>
      <c r="G38" s="163"/>
      <c r="H38" s="163"/>
      <c r="I38" s="166"/>
      <c r="J38" s="166"/>
      <c r="K38" s="167"/>
      <c r="L38" s="167"/>
      <c r="M38" s="167"/>
      <c r="N38" s="324" t="str">
        <f>IF(I38&gt;0,(_xlfn.XLOOKUP(E38,tbl_staff_list[Name],tbl_staff_list[Daily_Rate],0,0))*J38,"")</f>
        <v/>
      </c>
      <c r="O38" s="324" t="str">
        <f>IF(I38&gt;0,(_xlfn.XLOOKUP(E38,tbl_staff_list[Name],tbl_staff_list[Daily_Rate],0,0))*I38,"")</f>
        <v/>
      </c>
      <c r="P38" s="326" t="str">
        <f t="shared" si="0"/>
        <v/>
      </c>
      <c r="Q38" s="164"/>
      <c r="R38" s="161"/>
      <c r="S38" s="11"/>
      <c r="T38" s="11"/>
      <c r="U38" s="11"/>
      <c r="V38" s="11"/>
    </row>
    <row r="39" spans="2:22" x14ac:dyDescent="0.25">
      <c r="B39" s="154"/>
      <c r="C39" s="152"/>
      <c r="D39" s="151"/>
      <c r="E39" s="154"/>
      <c r="F39" s="154"/>
      <c r="G39" s="163"/>
      <c r="H39" s="163"/>
      <c r="I39" s="166"/>
      <c r="J39" s="166"/>
      <c r="K39" s="167"/>
      <c r="L39" s="167"/>
      <c r="M39" s="167"/>
      <c r="N39" s="324" t="str">
        <f>IF(I39&gt;0,(_xlfn.XLOOKUP(E39,tbl_staff_list[Name],tbl_staff_list[Daily_Rate],0,0))*J39,"")</f>
        <v/>
      </c>
      <c r="O39" s="324" t="str">
        <f>IF(I39&gt;0,(_xlfn.XLOOKUP(E39,tbl_staff_list[Name],tbl_staff_list[Daily_Rate],0,0))*I39,"")</f>
        <v/>
      </c>
      <c r="P39" s="326" t="str">
        <f t="shared" si="0"/>
        <v/>
      </c>
      <c r="Q39" s="165"/>
      <c r="R39" s="162"/>
      <c r="S39" s="11"/>
      <c r="T39" s="11"/>
      <c r="U39" s="11"/>
      <c r="V39" s="11"/>
    </row>
    <row r="40" spans="2:22" x14ac:dyDescent="0.25">
      <c r="B40" s="154"/>
      <c r="C40" s="152"/>
      <c r="D40" s="151"/>
      <c r="E40" s="154"/>
      <c r="F40" s="154"/>
      <c r="G40" s="163"/>
      <c r="H40" s="163"/>
      <c r="I40" s="166"/>
      <c r="J40" s="166"/>
      <c r="K40" s="167"/>
      <c r="L40" s="167"/>
      <c r="M40" s="167"/>
      <c r="N40" s="324" t="str">
        <f>IF(I40&gt;0,(_xlfn.XLOOKUP(E40,tbl_staff_list[Name],tbl_staff_list[Daily_Rate],0,0))*J40,"")</f>
        <v/>
      </c>
      <c r="O40" s="324" t="str">
        <f>IF(I40&gt;0,(_xlfn.XLOOKUP(E40,tbl_staff_list[Name],tbl_staff_list[Daily_Rate],0,0))*I40,"")</f>
        <v/>
      </c>
      <c r="P40" s="326" t="str">
        <f t="shared" si="0"/>
        <v/>
      </c>
      <c r="Q40" s="164"/>
      <c r="R40" s="161"/>
      <c r="S40" s="11"/>
      <c r="T40" s="11"/>
      <c r="U40" s="11"/>
      <c r="V40" s="11"/>
    </row>
    <row r="41" spans="2:22" x14ac:dyDescent="0.25">
      <c r="B41" s="154"/>
      <c r="C41" s="152"/>
      <c r="D41" s="151"/>
      <c r="E41" s="154"/>
      <c r="F41" s="154"/>
      <c r="G41" s="163"/>
      <c r="H41" s="163"/>
      <c r="I41" s="166"/>
      <c r="J41" s="166"/>
      <c r="K41" s="167"/>
      <c r="L41" s="167"/>
      <c r="M41" s="167"/>
      <c r="N41" s="324" t="str">
        <f>IF(I41&gt;0,(_xlfn.XLOOKUP(E41,tbl_staff_list[Name],tbl_staff_list[Daily_Rate],0,0))*J41,"")</f>
        <v/>
      </c>
      <c r="O41" s="324" t="str">
        <f>IF(I41&gt;0,(_xlfn.XLOOKUP(E41,tbl_staff_list[Name],tbl_staff_list[Daily_Rate],0,0))*I41,"")</f>
        <v/>
      </c>
      <c r="P41" s="326" t="str">
        <f t="shared" si="0"/>
        <v/>
      </c>
      <c r="Q41" s="165"/>
      <c r="R41" s="162"/>
      <c r="S41" s="11"/>
      <c r="T41" s="11"/>
      <c r="U41" s="11"/>
      <c r="V41" s="11"/>
    </row>
    <row r="42" spans="2:22" x14ac:dyDescent="0.25">
      <c r="B42" s="154"/>
      <c r="C42" s="152"/>
      <c r="D42" s="151"/>
      <c r="E42" s="154"/>
      <c r="F42" s="154"/>
      <c r="G42" s="163"/>
      <c r="H42" s="163"/>
      <c r="I42" s="166"/>
      <c r="J42" s="166"/>
      <c r="K42" s="167"/>
      <c r="L42" s="167"/>
      <c r="M42" s="167"/>
      <c r="N42" s="324" t="str">
        <f>IF(I42&gt;0,(_xlfn.XLOOKUP(E42,tbl_staff_list[Name],tbl_staff_list[Daily_Rate],0,0))*J42,"")</f>
        <v/>
      </c>
      <c r="O42" s="324" t="str">
        <f>IF(I42&gt;0,(_xlfn.XLOOKUP(E42,tbl_staff_list[Name],tbl_staff_list[Daily_Rate],0,0))*I42,"")</f>
        <v/>
      </c>
      <c r="P42" s="326" t="str">
        <f t="shared" si="0"/>
        <v/>
      </c>
      <c r="Q42" s="164"/>
      <c r="R42" s="161"/>
      <c r="S42" s="11"/>
      <c r="T42" s="11"/>
      <c r="U42" s="11"/>
      <c r="V42" s="11"/>
    </row>
    <row r="43" spans="2:22" x14ac:dyDescent="0.25">
      <c r="B43" s="154"/>
      <c r="C43" s="152"/>
      <c r="D43" s="151"/>
      <c r="E43" s="154"/>
      <c r="F43" s="154"/>
      <c r="G43" s="163"/>
      <c r="H43" s="163"/>
      <c r="I43" s="166"/>
      <c r="J43" s="166"/>
      <c r="K43" s="167"/>
      <c r="L43" s="167"/>
      <c r="M43" s="167"/>
      <c r="N43" s="324" t="str">
        <f>IF(I43&gt;0,(_xlfn.XLOOKUP(E43,tbl_staff_list[Name],tbl_staff_list[Daily_Rate],0,0))*J43,"")</f>
        <v/>
      </c>
      <c r="O43" s="324" t="str">
        <f>IF(I43&gt;0,(_xlfn.XLOOKUP(E43,tbl_staff_list[Name],tbl_staff_list[Daily_Rate],0,0))*I43,"")</f>
        <v/>
      </c>
      <c r="P43" s="326" t="str">
        <f t="shared" si="0"/>
        <v/>
      </c>
      <c r="Q43" s="165"/>
      <c r="R43" s="162"/>
      <c r="S43" s="11"/>
      <c r="T43" s="11"/>
      <c r="U43" s="11"/>
      <c r="V43" s="11"/>
    </row>
    <row r="44" spans="2:22" x14ac:dyDescent="0.25">
      <c r="B44" s="154"/>
      <c r="C44" s="152"/>
      <c r="D44" s="151"/>
      <c r="E44" s="154"/>
      <c r="F44" s="154"/>
      <c r="G44" s="163"/>
      <c r="H44" s="163"/>
      <c r="I44" s="166"/>
      <c r="J44" s="166"/>
      <c r="K44" s="167"/>
      <c r="L44" s="167"/>
      <c r="M44" s="167"/>
      <c r="N44" s="324" t="str">
        <f>IF(I44&gt;0,(_xlfn.XLOOKUP(E44,tbl_staff_list[Name],tbl_staff_list[Daily_Rate],0,0))*J44,"")</f>
        <v/>
      </c>
      <c r="O44" s="324" t="str">
        <f>IF(I44&gt;0,(_xlfn.XLOOKUP(E44,tbl_staff_list[Name],tbl_staff_list[Daily_Rate],0,0))*I44,"")</f>
        <v/>
      </c>
      <c r="P44" s="326" t="str">
        <f t="shared" si="0"/>
        <v/>
      </c>
      <c r="Q44" s="164"/>
      <c r="R44" s="161"/>
      <c r="S44" s="11"/>
      <c r="T44" s="11"/>
      <c r="U44" s="11"/>
      <c r="V44" s="11"/>
    </row>
    <row r="45" spans="2:22" x14ac:dyDescent="0.25">
      <c r="B45" s="154"/>
      <c r="C45" s="152"/>
      <c r="D45" s="151"/>
      <c r="E45" s="154"/>
      <c r="F45" s="154"/>
      <c r="G45" s="163"/>
      <c r="H45" s="163"/>
      <c r="I45" s="166"/>
      <c r="J45" s="166"/>
      <c r="K45" s="167"/>
      <c r="L45" s="167"/>
      <c r="M45" s="167"/>
      <c r="N45" s="324" t="str">
        <f>IF(I45&gt;0,(_xlfn.XLOOKUP(E45,tbl_staff_list[Name],tbl_staff_list[Daily_Rate],0,0))*J45,"")</f>
        <v/>
      </c>
      <c r="O45" s="324" t="str">
        <f>IF(I45&gt;0,(_xlfn.XLOOKUP(E45,tbl_staff_list[Name],tbl_staff_list[Daily_Rate],0,0))*I45,"")</f>
        <v/>
      </c>
      <c r="P45" s="326" t="str">
        <f t="shared" si="0"/>
        <v/>
      </c>
      <c r="Q45" s="165"/>
      <c r="R45" s="162"/>
      <c r="S45" s="11"/>
      <c r="T45" s="11"/>
      <c r="U45" s="11"/>
      <c r="V45" s="11"/>
    </row>
    <row r="46" spans="2:22" x14ac:dyDescent="0.25">
      <c r="B46" s="154"/>
      <c r="C46" s="152"/>
      <c r="D46" s="151"/>
      <c r="E46" s="154"/>
      <c r="F46" s="154"/>
      <c r="G46" s="163"/>
      <c r="H46" s="163"/>
      <c r="I46" s="166"/>
      <c r="J46" s="166"/>
      <c r="K46" s="167"/>
      <c r="L46" s="167"/>
      <c r="M46" s="167"/>
      <c r="N46" s="324" t="str">
        <f>IF(I46&gt;0,(_xlfn.XLOOKUP(E46,tbl_staff_list[Name],tbl_staff_list[Daily_Rate],0,0))*J46,"")</f>
        <v/>
      </c>
      <c r="O46" s="324" t="str">
        <f>IF(I46&gt;0,(_xlfn.XLOOKUP(E46,tbl_staff_list[Name],tbl_staff_list[Daily_Rate],0,0))*I46,"")</f>
        <v/>
      </c>
      <c r="P46" s="326" t="str">
        <f t="shared" si="0"/>
        <v/>
      </c>
      <c r="Q46" s="164"/>
      <c r="R46" s="161"/>
      <c r="S46" s="11"/>
      <c r="T46" s="11"/>
      <c r="U46" s="11"/>
      <c r="V46" s="11"/>
    </row>
    <row r="47" spans="2:22" x14ac:dyDescent="0.25">
      <c r="B47" s="154"/>
      <c r="C47" s="152"/>
      <c r="D47" s="151"/>
      <c r="E47" s="154"/>
      <c r="F47" s="154"/>
      <c r="G47" s="163"/>
      <c r="H47" s="163"/>
      <c r="I47" s="166"/>
      <c r="J47" s="166"/>
      <c r="K47" s="167"/>
      <c r="L47" s="167"/>
      <c r="M47" s="167"/>
      <c r="N47" s="324" t="str">
        <f>IF(I47&gt;0,(_xlfn.XLOOKUP(E47,tbl_staff_list[Name],tbl_staff_list[Daily_Rate],0,0))*J47,"")</f>
        <v/>
      </c>
      <c r="O47" s="324" t="str">
        <f>IF(I47&gt;0,(_xlfn.XLOOKUP(E47,tbl_staff_list[Name],tbl_staff_list[Daily_Rate],0,0))*I47,"")</f>
        <v/>
      </c>
      <c r="P47" s="326" t="str">
        <f t="shared" si="0"/>
        <v/>
      </c>
      <c r="Q47" s="165"/>
      <c r="R47" s="162"/>
      <c r="S47" s="11"/>
      <c r="T47" s="11"/>
      <c r="U47" s="11"/>
      <c r="V47" s="11"/>
    </row>
    <row r="48" spans="2:22" x14ac:dyDescent="0.25">
      <c r="B48" s="154"/>
      <c r="C48" s="152"/>
      <c r="D48" s="151"/>
      <c r="E48" s="154"/>
      <c r="F48" s="154"/>
      <c r="G48" s="163"/>
      <c r="H48" s="163"/>
      <c r="I48" s="166"/>
      <c r="J48" s="166"/>
      <c r="K48" s="167"/>
      <c r="L48" s="167"/>
      <c r="M48" s="167"/>
      <c r="N48" s="324" t="str">
        <f>IF(I48&gt;0,(_xlfn.XLOOKUP(E48,tbl_staff_list[Name],tbl_staff_list[Daily_Rate],0,0))*J48,"")</f>
        <v/>
      </c>
      <c r="O48" s="324" t="str">
        <f>IF(I48&gt;0,(_xlfn.XLOOKUP(E48,tbl_staff_list[Name],tbl_staff_list[Daily_Rate],0,0))*I48,"")</f>
        <v/>
      </c>
      <c r="P48" s="326" t="str">
        <f t="shared" si="0"/>
        <v/>
      </c>
      <c r="Q48" s="164"/>
      <c r="R48" s="161"/>
      <c r="S48" s="11"/>
      <c r="T48" s="11"/>
      <c r="U48" s="11"/>
      <c r="V48" s="11"/>
    </row>
    <row r="49" spans="2:22" x14ac:dyDescent="0.25">
      <c r="B49" s="154"/>
      <c r="C49" s="152"/>
      <c r="D49" s="151"/>
      <c r="E49" s="154"/>
      <c r="F49" s="154"/>
      <c r="G49" s="163"/>
      <c r="H49" s="163"/>
      <c r="I49" s="166"/>
      <c r="J49" s="166"/>
      <c r="K49" s="167"/>
      <c r="L49" s="167"/>
      <c r="M49" s="167"/>
      <c r="N49" s="324" t="str">
        <f>IF(I49&gt;0,(_xlfn.XLOOKUP(E49,tbl_staff_list[Name],tbl_staff_list[Daily_Rate],0,0))*J49,"")</f>
        <v/>
      </c>
      <c r="O49" s="324" t="str">
        <f>IF(I49&gt;0,(_xlfn.XLOOKUP(E49,tbl_staff_list[Name],tbl_staff_list[Daily_Rate],0,0))*I49,"")</f>
        <v/>
      </c>
      <c r="P49" s="326" t="str">
        <f t="shared" si="0"/>
        <v/>
      </c>
      <c r="Q49" s="165"/>
      <c r="R49" s="162"/>
      <c r="S49" s="11"/>
      <c r="T49" s="11"/>
      <c r="U49" s="11"/>
      <c r="V49" s="11"/>
    </row>
    <row r="50" spans="2:22" x14ac:dyDescent="0.25">
      <c r="B50" s="154"/>
      <c r="C50" s="152"/>
      <c r="D50" s="151"/>
      <c r="E50" s="154"/>
      <c r="F50" s="154"/>
      <c r="G50" s="163"/>
      <c r="H50" s="163"/>
      <c r="I50" s="166"/>
      <c r="J50" s="166"/>
      <c r="K50" s="167"/>
      <c r="L50" s="167"/>
      <c r="M50" s="167"/>
      <c r="N50" s="324" t="str">
        <f>IF(I50&gt;0,(_xlfn.XLOOKUP(E50,tbl_staff_list[Name],tbl_staff_list[Daily_Rate],0,0))*J50,"")</f>
        <v/>
      </c>
      <c r="O50" s="324" t="str">
        <f>IF(I50&gt;0,(_xlfn.XLOOKUP(E50,tbl_staff_list[Name],tbl_staff_list[Daily_Rate],0,0))*I50,"")</f>
        <v/>
      </c>
      <c r="P50" s="326" t="str">
        <f t="shared" si="0"/>
        <v/>
      </c>
      <c r="Q50" s="164"/>
      <c r="R50" s="161"/>
      <c r="S50" s="11"/>
      <c r="T50" s="11"/>
      <c r="U50" s="11"/>
      <c r="V50" s="11"/>
    </row>
    <row r="51" spans="2:22" x14ac:dyDescent="0.25">
      <c r="B51" s="154"/>
      <c r="C51" s="152"/>
      <c r="D51" s="151"/>
      <c r="E51" s="154"/>
      <c r="F51" s="154"/>
      <c r="G51" s="163"/>
      <c r="H51" s="163"/>
      <c r="I51" s="166"/>
      <c r="J51" s="166"/>
      <c r="K51" s="167"/>
      <c r="L51" s="167"/>
      <c r="M51" s="167"/>
      <c r="N51" s="324" t="str">
        <f>IF(I51&gt;0,(_xlfn.XLOOKUP(E51,tbl_staff_list[Name],tbl_staff_list[Daily_Rate],0,0))*J51,"")</f>
        <v/>
      </c>
      <c r="O51" s="324" t="str">
        <f>IF(I51&gt;0,(_xlfn.XLOOKUP(E51,tbl_staff_list[Name],tbl_staff_list[Daily_Rate],0,0))*I51,"")</f>
        <v/>
      </c>
      <c r="P51" s="326" t="str">
        <f t="shared" si="0"/>
        <v/>
      </c>
      <c r="Q51" s="165"/>
      <c r="R51" s="162"/>
      <c r="S51" s="11"/>
      <c r="T51" s="11"/>
      <c r="U51" s="11"/>
      <c r="V51" s="11"/>
    </row>
    <row r="52" spans="2:22" x14ac:dyDescent="0.25">
      <c r="B52" s="154"/>
      <c r="C52" s="152"/>
      <c r="D52" s="151"/>
      <c r="E52" s="154"/>
      <c r="F52" s="154"/>
      <c r="G52" s="163"/>
      <c r="H52" s="163"/>
      <c r="I52" s="166"/>
      <c r="J52" s="166"/>
      <c r="K52" s="167"/>
      <c r="L52" s="167"/>
      <c r="M52" s="167"/>
      <c r="N52" s="324" t="str">
        <f>IF(I52&gt;0,(_xlfn.XLOOKUP(E52,tbl_staff_list[Name],tbl_staff_list[Daily_Rate],0,0))*J52,"")</f>
        <v/>
      </c>
      <c r="O52" s="324" t="str">
        <f>IF(I52&gt;0,(_xlfn.XLOOKUP(E52,tbl_staff_list[Name],tbl_staff_list[Daily_Rate],0,0))*I52,"")</f>
        <v/>
      </c>
      <c r="P52" s="326" t="str">
        <f t="shared" si="0"/>
        <v/>
      </c>
      <c r="Q52" s="164"/>
      <c r="R52" s="161"/>
      <c r="S52" s="11"/>
      <c r="T52" s="11"/>
      <c r="U52" s="11"/>
      <c r="V52" s="11"/>
    </row>
    <row r="53" spans="2:22" x14ac:dyDescent="0.25">
      <c r="B53" s="154"/>
      <c r="C53" s="152"/>
      <c r="D53" s="151"/>
      <c r="E53" s="154"/>
      <c r="F53" s="154"/>
      <c r="G53" s="163"/>
      <c r="H53" s="163"/>
      <c r="I53" s="166"/>
      <c r="J53" s="166"/>
      <c r="K53" s="167"/>
      <c r="L53" s="167"/>
      <c r="M53" s="167"/>
      <c r="N53" s="324" t="str">
        <f>IF(I53&gt;0,(_xlfn.XLOOKUP(E53,tbl_staff_list[Name],tbl_staff_list[Daily_Rate],0,0))*J53,"")</f>
        <v/>
      </c>
      <c r="O53" s="324" t="str">
        <f>IF(I53&gt;0,(_xlfn.XLOOKUP(E53,tbl_staff_list[Name],tbl_staff_list[Daily_Rate],0,0))*I53,"")</f>
        <v/>
      </c>
      <c r="P53" s="326" t="str">
        <f t="shared" si="0"/>
        <v/>
      </c>
      <c r="Q53" s="165"/>
      <c r="R53" s="162"/>
      <c r="S53" s="11"/>
      <c r="T53" s="11"/>
      <c r="U53" s="11"/>
      <c r="V53" s="11"/>
    </row>
    <row r="54" spans="2:22" x14ac:dyDescent="0.25">
      <c r="B54" s="154"/>
      <c r="C54" s="152"/>
      <c r="D54" s="151"/>
      <c r="E54" s="154"/>
      <c r="F54" s="154"/>
      <c r="G54" s="163"/>
      <c r="H54" s="163"/>
      <c r="I54" s="166"/>
      <c r="J54" s="166"/>
      <c r="K54" s="167"/>
      <c r="L54" s="167"/>
      <c r="M54" s="167"/>
      <c r="N54" s="324" t="str">
        <f>IF(I54&gt;0,(_xlfn.XLOOKUP(E54,tbl_staff_list[Name],tbl_staff_list[Daily_Rate],0,0))*J54,"")</f>
        <v/>
      </c>
      <c r="O54" s="324" t="str">
        <f>IF(I54&gt;0,(_xlfn.XLOOKUP(E54,tbl_staff_list[Name],tbl_staff_list[Daily_Rate],0,0))*I54,"")</f>
        <v/>
      </c>
      <c r="P54" s="326" t="str">
        <f t="shared" si="0"/>
        <v/>
      </c>
      <c r="Q54" s="164"/>
      <c r="R54" s="161"/>
      <c r="S54" s="11"/>
      <c r="T54" s="11"/>
      <c r="U54" s="11"/>
      <c r="V54" s="11"/>
    </row>
    <row r="55" spans="2:22" x14ac:dyDescent="0.25">
      <c r="B55" s="154"/>
      <c r="C55" s="152"/>
      <c r="D55" s="151"/>
      <c r="E55" s="154"/>
      <c r="F55" s="154"/>
      <c r="G55" s="163"/>
      <c r="H55" s="163"/>
      <c r="I55" s="166"/>
      <c r="J55" s="166"/>
      <c r="K55" s="167"/>
      <c r="L55" s="167"/>
      <c r="M55" s="167"/>
      <c r="N55" s="324" t="str">
        <f>IF(I55&gt;0,(_xlfn.XLOOKUP(E55,tbl_staff_list[Name],tbl_staff_list[Daily_Rate],0,0))*J55,"")</f>
        <v/>
      </c>
      <c r="O55" s="324" t="str">
        <f>IF(I55&gt;0,(_xlfn.XLOOKUP(E55,tbl_staff_list[Name],tbl_staff_list[Daily_Rate],0,0))*I55,"")</f>
        <v/>
      </c>
      <c r="P55" s="326" t="str">
        <f t="shared" si="0"/>
        <v/>
      </c>
      <c r="Q55" s="165"/>
      <c r="R55" s="162"/>
      <c r="S55" s="11"/>
      <c r="T55" s="11"/>
      <c r="U55" s="11"/>
      <c r="V55" s="11"/>
    </row>
    <row r="56" spans="2:22" x14ac:dyDescent="0.25">
      <c r="B56" s="154"/>
      <c r="C56" s="152"/>
      <c r="D56" s="151"/>
      <c r="E56" s="154"/>
      <c r="F56" s="154"/>
      <c r="G56" s="163"/>
      <c r="H56" s="163"/>
      <c r="I56" s="166"/>
      <c r="J56" s="166"/>
      <c r="K56" s="167"/>
      <c r="L56" s="167"/>
      <c r="M56" s="167"/>
      <c r="N56" s="324" t="str">
        <f>IF(I56&gt;0,(_xlfn.XLOOKUP(E56,tbl_staff_list[Name],tbl_staff_list[Daily_Rate],0,0))*J56,"")</f>
        <v/>
      </c>
      <c r="O56" s="324" t="str">
        <f>IF(I56&gt;0,(_xlfn.XLOOKUP(E56,tbl_staff_list[Name],tbl_staff_list[Daily_Rate],0,0))*I56,"")</f>
        <v/>
      </c>
      <c r="P56" s="326" t="str">
        <f t="shared" si="0"/>
        <v/>
      </c>
      <c r="Q56" s="164"/>
      <c r="R56" s="161"/>
      <c r="S56" s="11"/>
      <c r="T56" s="11"/>
      <c r="U56" s="11"/>
      <c r="V56" s="11"/>
    </row>
    <row r="57" spans="2:22" x14ac:dyDescent="0.25">
      <c r="B57" s="154"/>
      <c r="C57" s="152"/>
      <c r="D57" s="151"/>
      <c r="E57" s="154"/>
      <c r="F57" s="154"/>
      <c r="G57" s="163"/>
      <c r="H57" s="163"/>
      <c r="I57" s="166"/>
      <c r="J57" s="166"/>
      <c r="K57" s="167"/>
      <c r="L57" s="167"/>
      <c r="M57" s="167"/>
      <c r="N57" s="324" t="str">
        <f>IF(I57&gt;0,(_xlfn.XLOOKUP(E57,tbl_staff_list[Name],tbl_staff_list[Daily_Rate],0,0))*J57,"")</f>
        <v/>
      </c>
      <c r="O57" s="324" t="str">
        <f>IF(I57&gt;0,(_xlfn.XLOOKUP(E57,tbl_staff_list[Name],tbl_staff_list[Daily_Rate],0,0))*I57,"")</f>
        <v/>
      </c>
      <c r="P57" s="326" t="str">
        <f t="shared" si="0"/>
        <v/>
      </c>
      <c r="Q57" s="165"/>
      <c r="R57" s="162"/>
      <c r="S57" s="11"/>
      <c r="T57" s="11"/>
      <c r="U57" s="11"/>
      <c r="V57" s="11"/>
    </row>
    <row r="58" spans="2:22" x14ac:dyDescent="0.25">
      <c r="B58" s="154"/>
      <c r="C58" s="152"/>
      <c r="D58" s="151"/>
      <c r="E58" s="154"/>
      <c r="F58" s="154"/>
      <c r="G58" s="163"/>
      <c r="H58" s="163"/>
      <c r="I58" s="166"/>
      <c r="J58" s="166"/>
      <c r="K58" s="167"/>
      <c r="L58" s="167"/>
      <c r="M58" s="167"/>
      <c r="N58" s="324" t="str">
        <f>IF(I58&gt;0,(_xlfn.XLOOKUP(E58,tbl_staff_list[Name],tbl_staff_list[Daily_Rate],0,0))*J58,"")</f>
        <v/>
      </c>
      <c r="O58" s="324" t="str">
        <f>IF(I58&gt;0,(_xlfn.XLOOKUP(E58,tbl_staff_list[Name],tbl_staff_list[Daily_Rate],0,0))*I58,"")</f>
        <v/>
      </c>
      <c r="P58" s="326" t="str">
        <f t="shared" si="0"/>
        <v/>
      </c>
      <c r="Q58" s="164"/>
      <c r="R58" s="161"/>
      <c r="S58" s="11"/>
      <c r="T58" s="11"/>
      <c r="U58" s="11"/>
      <c r="V58" s="11"/>
    </row>
    <row r="59" spans="2:22" x14ac:dyDescent="0.25">
      <c r="B59" s="154"/>
      <c r="C59" s="152"/>
      <c r="D59" s="151"/>
      <c r="E59" s="154"/>
      <c r="F59" s="154"/>
      <c r="G59" s="163"/>
      <c r="H59" s="163"/>
      <c r="I59" s="166"/>
      <c r="J59" s="166"/>
      <c r="K59" s="167"/>
      <c r="L59" s="167"/>
      <c r="M59" s="167"/>
      <c r="N59" s="324" t="str">
        <f>IF(I59&gt;0,(_xlfn.XLOOKUP(E59,tbl_staff_list[Name],tbl_staff_list[Daily_Rate],0,0))*J59,"")</f>
        <v/>
      </c>
      <c r="O59" s="324" t="str">
        <f>IF(I59&gt;0,(_xlfn.XLOOKUP(E59,tbl_staff_list[Name],tbl_staff_list[Daily_Rate],0,0))*I59,"")</f>
        <v/>
      </c>
      <c r="P59" s="326" t="str">
        <f t="shared" si="0"/>
        <v/>
      </c>
      <c r="Q59" s="165"/>
      <c r="R59" s="162"/>
      <c r="S59" s="11"/>
      <c r="T59" s="11"/>
      <c r="U59" s="11"/>
      <c r="V59" s="11"/>
    </row>
    <row r="60" spans="2:22" x14ac:dyDescent="0.25">
      <c r="B60" s="154"/>
      <c r="C60" s="152"/>
      <c r="D60" s="151"/>
      <c r="E60" s="154"/>
      <c r="F60" s="154"/>
      <c r="G60" s="163"/>
      <c r="H60" s="163"/>
      <c r="I60" s="166"/>
      <c r="J60" s="166"/>
      <c r="K60" s="167"/>
      <c r="L60" s="167"/>
      <c r="M60" s="167"/>
      <c r="N60" s="324" t="str">
        <f>IF(I60&gt;0,(_xlfn.XLOOKUP(E60,tbl_staff_list[Name],tbl_staff_list[Daily_Rate],0,0))*J60,"")</f>
        <v/>
      </c>
      <c r="O60" s="324" t="str">
        <f>IF(I60&gt;0,(_xlfn.XLOOKUP(E60,tbl_staff_list[Name],tbl_staff_list[Daily_Rate],0,0))*I60,"")</f>
        <v/>
      </c>
      <c r="P60" s="326" t="str">
        <f t="shared" si="0"/>
        <v/>
      </c>
      <c r="Q60" s="164"/>
      <c r="R60" s="161"/>
      <c r="S60" s="11"/>
      <c r="T60" s="11"/>
      <c r="U60" s="11"/>
      <c r="V60" s="11"/>
    </row>
    <row r="61" spans="2:22" x14ac:dyDescent="0.25">
      <c r="B61" s="154"/>
      <c r="C61" s="152"/>
      <c r="D61" s="151"/>
      <c r="E61" s="154"/>
      <c r="F61" s="154"/>
      <c r="G61" s="163"/>
      <c r="H61" s="163"/>
      <c r="I61" s="166"/>
      <c r="J61" s="166"/>
      <c r="K61" s="167"/>
      <c r="L61" s="167"/>
      <c r="M61" s="167"/>
      <c r="N61" s="324" t="str">
        <f>IF(I61&gt;0,(_xlfn.XLOOKUP(E61,tbl_staff_list[Name],tbl_staff_list[Daily_Rate],0,0))*J61,"")</f>
        <v/>
      </c>
      <c r="O61" s="324" t="str">
        <f>IF(I61&gt;0,(_xlfn.XLOOKUP(E61,tbl_staff_list[Name],tbl_staff_list[Daily_Rate],0,0))*I61,"")</f>
        <v/>
      </c>
      <c r="P61" s="326" t="str">
        <f t="shared" si="0"/>
        <v/>
      </c>
      <c r="Q61" s="165"/>
      <c r="R61" s="162"/>
      <c r="S61" s="11"/>
      <c r="T61" s="11"/>
      <c r="U61" s="11"/>
      <c r="V61" s="11"/>
    </row>
    <row r="62" spans="2:22" x14ac:dyDescent="0.25">
      <c r="B62" s="154"/>
      <c r="C62" s="152"/>
      <c r="D62" s="151"/>
      <c r="E62" s="154"/>
      <c r="F62" s="154"/>
      <c r="G62" s="163"/>
      <c r="H62" s="163"/>
      <c r="I62" s="166"/>
      <c r="J62" s="166"/>
      <c r="K62" s="167"/>
      <c r="L62" s="167"/>
      <c r="M62" s="167"/>
      <c r="N62" s="324" t="str">
        <f>IF(I62&gt;0,(_xlfn.XLOOKUP(E62,tbl_staff_list[Name],tbl_staff_list[Daily_Rate],0,0))*J62,"")</f>
        <v/>
      </c>
      <c r="O62" s="324" t="str">
        <f>IF(I62&gt;0,(_xlfn.XLOOKUP(E62,tbl_staff_list[Name],tbl_staff_list[Daily_Rate],0,0))*I62,"")</f>
        <v/>
      </c>
      <c r="P62" s="326" t="str">
        <f t="shared" si="0"/>
        <v/>
      </c>
      <c r="Q62" s="164"/>
      <c r="R62" s="161"/>
      <c r="S62" s="11"/>
      <c r="T62" s="11"/>
      <c r="U62" s="11"/>
      <c r="V62" s="11"/>
    </row>
    <row r="63" spans="2:22" x14ac:dyDescent="0.25">
      <c r="B63" s="154"/>
      <c r="C63" s="152"/>
      <c r="D63" s="151"/>
      <c r="E63" s="154"/>
      <c r="F63" s="154"/>
      <c r="G63" s="163"/>
      <c r="H63" s="163"/>
      <c r="I63" s="166"/>
      <c r="J63" s="166"/>
      <c r="K63" s="167"/>
      <c r="L63" s="167"/>
      <c r="M63" s="167"/>
      <c r="N63" s="324" t="str">
        <f>IF(I63&gt;0,(_xlfn.XLOOKUP(E63,tbl_staff_list[Name],tbl_staff_list[Daily_Rate],0,0))*J63,"")</f>
        <v/>
      </c>
      <c r="O63" s="324" t="str">
        <f>IF(I63&gt;0,(_xlfn.XLOOKUP(E63,tbl_staff_list[Name],tbl_staff_list[Daily_Rate],0,0))*I63,"")</f>
        <v/>
      </c>
      <c r="P63" s="326" t="str">
        <f t="shared" si="0"/>
        <v/>
      </c>
      <c r="Q63" s="165"/>
      <c r="R63" s="162"/>
      <c r="S63" s="11"/>
      <c r="T63" s="11"/>
      <c r="U63" s="11"/>
      <c r="V63" s="11"/>
    </row>
    <row r="64" spans="2:22" x14ac:dyDescent="0.25">
      <c r="B64" s="154"/>
      <c r="C64" s="152"/>
      <c r="D64" s="151"/>
      <c r="E64" s="154"/>
      <c r="F64" s="154"/>
      <c r="G64" s="163"/>
      <c r="H64" s="163"/>
      <c r="I64" s="166"/>
      <c r="J64" s="166"/>
      <c r="K64" s="167"/>
      <c r="L64" s="167"/>
      <c r="M64" s="167"/>
      <c r="N64" s="324" t="str">
        <f>IF(I64&gt;0,(_xlfn.XLOOKUP(E64,tbl_staff_list[Name],tbl_staff_list[Daily_Rate],0,0))*J64,"")</f>
        <v/>
      </c>
      <c r="O64" s="324" t="str">
        <f>IF(I64&gt;0,(_xlfn.XLOOKUP(E64,tbl_staff_list[Name],tbl_staff_list[Daily_Rate],0,0))*I64,"")</f>
        <v/>
      </c>
      <c r="P64" s="326" t="str">
        <f t="shared" si="0"/>
        <v/>
      </c>
      <c r="Q64" s="164"/>
      <c r="R64" s="161"/>
      <c r="S64" s="11"/>
      <c r="T64" s="11"/>
      <c r="U64" s="11"/>
      <c r="V64" s="11"/>
    </row>
    <row r="65" spans="2:22" x14ac:dyDescent="0.25">
      <c r="B65" s="154"/>
      <c r="C65" s="152"/>
      <c r="D65" s="151"/>
      <c r="E65" s="154"/>
      <c r="F65" s="154"/>
      <c r="G65" s="163"/>
      <c r="H65" s="163"/>
      <c r="I65" s="166"/>
      <c r="J65" s="166"/>
      <c r="K65" s="167"/>
      <c r="L65" s="167"/>
      <c r="M65" s="167"/>
      <c r="N65" s="324" t="str">
        <f>IF(I65&gt;0,(_xlfn.XLOOKUP(E65,tbl_staff_list[Name],tbl_staff_list[Daily_Rate],0,0))*J65,"")</f>
        <v/>
      </c>
      <c r="O65" s="324" t="str">
        <f>IF(I65&gt;0,(_xlfn.XLOOKUP(E65,tbl_staff_list[Name],tbl_staff_list[Daily_Rate],0,0))*I65,"")</f>
        <v/>
      </c>
      <c r="P65" s="326" t="str">
        <f t="shared" si="0"/>
        <v/>
      </c>
      <c r="Q65" s="165"/>
      <c r="R65" s="162"/>
      <c r="S65" s="11"/>
      <c r="T65" s="11"/>
      <c r="U65" s="11"/>
      <c r="V65" s="11"/>
    </row>
    <row r="66" spans="2:22" x14ac:dyDescent="0.25">
      <c r="B66" s="154"/>
      <c r="C66" s="152"/>
      <c r="D66" s="151"/>
      <c r="E66" s="154"/>
      <c r="F66" s="154"/>
      <c r="G66" s="163"/>
      <c r="H66" s="163"/>
      <c r="I66" s="166"/>
      <c r="J66" s="166"/>
      <c r="K66" s="167"/>
      <c r="L66" s="167"/>
      <c r="M66" s="167"/>
      <c r="N66" s="324" t="str">
        <f>IF(I66&gt;0,(_xlfn.XLOOKUP(E66,tbl_staff_list[Name],tbl_staff_list[Daily_Rate],0,0))*J66,"")</f>
        <v/>
      </c>
      <c r="O66" s="324" t="str">
        <f>IF(I66&gt;0,(_xlfn.XLOOKUP(E66,tbl_staff_list[Name],tbl_staff_list[Daily_Rate],0,0))*I66,"")</f>
        <v/>
      </c>
      <c r="P66" s="326" t="str">
        <f t="shared" si="0"/>
        <v/>
      </c>
      <c r="Q66" s="164"/>
      <c r="R66" s="161"/>
      <c r="S66" s="11"/>
      <c r="T66" s="11"/>
      <c r="U66" s="11"/>
      <c r="V66" s="11"/>
    </row>
    <row r="67" spans="2:22" x14ac:dyDescent="0.25">
      <c r="B67" s="154"/>
      <c r="C67" s="152"/>
      <c r="D67" s="151"/>
      <c r="E67" s="154"/>
      <c r="F67" s="154"/>
      <c r="G67" s="163"/>
      <c r="H67" s="163"/>
      <c r="I67" s="166"/>
      <c r="J67" s="166"/>
      <c r="K67" s="167"/>
      <c r="L67" s="167"/>
      <c r="M67" s="167"/>
      <c r="N67" s="324" t="str">
        <f>IF(I67&gt;0,(_xlfn.XLOOKUP(E67,tbl_staff_list[Name],tbl_staff_list[Daily_Rate],0,0))*J67,"")</f>
        <v/>
      </c>
      <c r="O67" s="324" t="str">
        <f>IF(I67&gt;0,(_xlfn.XLOOKUP(E67,tbl_staff_list[Name],tbl_staff_list[Daily_Rate],0,0))*I67,"")</f>
        <v/>
      </c>
      <c r="P67" s="326" t="str">
        <f t="shared" si="0"/>
        <v/>
      </c>
      <c r="Q67" s="165"/>
      <c r="R67" s="162"/>
      <c r="S67" s="11"/>
      <c r="T67" s="11"/>
      <c r="U67" s="11"/>
      <c r="V67" s="11"/>
    </row>
    <row r="68" spans="2:22" x14ac:dyDescent="0.25">
      <c r="B68" s="154"/>
      <c r="C68" s="152"/>
      <c r="D68" s="151"/>
      <c r="E68" s="154"/>
      <c r="F68" s="154"/>
      <c r="G68" s="163"/>
      <c r="H68" s="163"/>
      <c r="I68" s="166"/>
      <c r="J68" s="166"/>
      <c r="K68" s="167"/>
      <c r="L68" s="167"/>
      <c r="M68" s="167"/>
      <c r="N68" s="324" t="str">
        <f>IF(I68&gt;0,(_xlfn.XLOOKUP(E68,tbl_staff_list[Name],tbl_staff_list[Daily_Rate],0,0))*J68,"")</f>
        <v/>
      </c>
      <c r="O68" s="324" t="str">
        <f>IF(I68&gt;0,(_xlfn.XLOOKUP(E68,tbl_staff_list[Name],tbl_staff_list[Daily_Rate],0,0))*I68,"")</f>
        <v/>
      </c>
      <c r="P68" s="326" t="str">
        <f t="shared" si="0"/>
        <v/>
      </c>
      <c r="Q68" s="164"/>
      <c r="R68" s="161"/>
      <c r="S68" s="11"/>
      <c r="T68" s="11"/>
      <c r="U68" s="11"/>
      <c r="V68" s="11"/>
    </row>
    <row r="69" spans="2:22" x14ac:dyDescent="0.25">
      <c r="B69" s="154"/>
      <c r="C69" s="152"/>
      <c r="D69" s="151"/>
      <c r="E69" s="154"/>
      <c r="F69" s="154"/>
      <c r="G69" s="163"/>
      <c r="H69" s="163"/>
      <c r="I69" s="166"/>
      <c r="J69" s="166"/>
      <c r="K69" s="167"/>
      <c r="L69" s="167"/>
      <c r="M69" s="167"/>
      <c r="N69" s="324" t="str">
        <f>IF(I69&gt;0,(_xlfn.XLOOKUP(E69,tbl_staff_list[Name],tbl_staff_list[Daily_Rate],0,0))*J69,"")</f>
        <v/>
      </c>
      <c r="O69" s="324" t="str">
        <f>IF(I69&gt;0,(_xlfn.XLOOKUP(E69,tbl_staff_list[Name],tbl_staff_list[Daily_Rate],0,0))*I69,"")</f>
        <v/>
      </c>
      <c r="P69" s="326" t="str">
        <f t="shared" ref="P69:P101" si="1">IF(I69&gt;0,(O69-N69)/N69,"")</f>
        <v/>
      </c>
      <c r="Q69" s="165"/>
      <c r="R69" s="162"/>
      <c r="S69" s="11"/>
      <c r="T69" s="11"/>
      <c r="U69" s="11"/>
      <c r="V69" s="11"/>
    </row>
    <row r="70" spans="2:22" x14ac:dyDescent="0.25">
      <c r="B70" s="154"/>
      <c r="C70" s="152"/>
      <c r="D70" s="151"/>
      <c r="E70" s="154"/>
      <c r="F70" s="154"/>
      <c r="G70" s="163"/>
      <c r="H70" s="163"/>
      <c r="I70" s="166"/>
      <c r="J70" s="166"/>
      <c r="K70" s="167"/>
      <c r="L70" s="167"/>
      <c r="M70" s="167"/>
      <c r="N70" s="324" t="str">
        <f>IF(I70&gt;0,(_xlfn.XLOOKUP(E70,tbl_staff_list[Name],tbl_staff_list[Daily_Rate],0,0))*J70,"")</f>
        <v/>
      </c>
      <c r="O70" s="324" t="str">
        <f>IF(I70&gt;0,(_xlfn.XLOOKUP(E70,tbl_staff_list[Name],tbl_staff_list[Daily_Rate],0,0))*I70,"")</f>
        <v/>
      </c>
      <c r="P70" s="326" t="str">
        <f t="shared" si="1"/>
        <v/>
      </c>
      <c r="Q70" s="164"/>
      <c r="R70" s="161"/>
      <c r="S70" s="11"/>
      <c r="T70" s="11"/>
      <c r="U70" s="11"/>
      <c r="V70" s="11"/>
    </row>
    <row r="71" spans="2:22" x14ac:dyDescent="0.25">
      <c r="B71" s="154"/>
      <c r="C71" s="153"/>
      <c r="D71" s="151"/>
      <c r="E71" s="154"/>
      <c r="F71" s="154"/>
      <c r="G71" s="163"/>
      <c r="H71" s="163"/>
      <c r="I71" s="166"/>
      <c r="J71" s="166"/>
      <c r="K71" s="168"/>
      <c r="L71" s="168"/>
      <c r="M71" s="168"/>
      <c r="N71" s="327" t="str">
        <f>IF(I71&gt;0,(_xlfn.XLOOKUP(E71,tbl_staff_list[Name],tbl_staff_list[Daily_Rate],0,0))*J71,"")</f>
        <v/>
      </c>
      <c r="O71" s="327" t="str">
        <f>IF(I71&gt;0,(_xlfn.XLOOKUP(E71,tbl_staff_list[Name],tbl_staff_list[Daily_Rate],0,0))*I71,"")</f>
        <v/>
      </c>
      <c r="P71" s="326" t="str">
        <f t="shared" si="1"/>
        <v/>
      </c>
      <c r="Q71" s="165"/>
      <c r="R71" s="162"/>
      <c r="S71" s="11"/>
      <c r="T71" s="11"/>
      <c r="U71" s="11"/>
      <c r="V71" s="11"/>
    </row>
    <row r="72" spans="2:22" x14ac:dyDescent="0.25">
      <c r="B72" s="154"/>
      <c r="C72" s="152"/>
      <c r="D72" s="151"/>
      <c r="E72" s="154"/>
      <c r="F72" s="154"/>
      <c r="G72" s="163"/>
      <c r="H72" s="163"/>
      <c r="I72" s="166"/>
      <c r="J72" s="166"/>
      <c r="K72" s="167"/>
      <c r="L72" s="167"/>
      <c r="M72" s="167"/>
      <c r="N72" s="327" t="str">
        <f>IF(I72&gt;0,(_xlfn.XLOOKUP(E72,tbl_staff_list[Name],tbl_staff_list[Daily_Rate],0,0))*J72,"")</f>
        <v/>
      </c>
      <c r="O72" s="327" t="str">
        <f>IF(I72&gt;0,(_xlfn.XLOOKUP(E72,tbl_staff_list[Name],tbl_staff_list[Daily_Rate],0,0))*I72,"")</f>
        <v/>
      </c>
      <c r="P72" s="326" t="str">
        <f t="shared" si="1"/>
        <v/>
      </c>
      <c r="Q72" s="164"/>
      <c r="R72" s="161"/>
      <c r="S72" s="11"/>
      <c r="T72" s="11"/>
      <c r="U72" s="11"/>
      <c r="V72" s="11"/>
    </row>
    <row r="73" spans="2:22" x14ac:dyDescent="0.25">
      <c r="B73" s="154"/>
      <c r="C73" s="153"/>
      <c r="D73" s="151"/>
      <c r="E73" s="154"/>
      <c r="F73" s="154"/>
      <c r="G73" s="163"/>
      <c r="H73" s="163"/>
      <c r="I73" s="166"/>
      <c r="J73" s="166"/>
      <c r="K73" s="168"/>
      <c r="L73" s="168"/>
      <c r="M73" s="168"/>
      <c r="N73" s="327" t="str">
        <f>IF(I73&gt;0,(_xlfn.XLOOKUP(E73,tbl_staff_list[Name],tbl_staff_list[Daily_Rate],0,0))*J73,"")</f>
        <v/>
      </c>
      <c r="O73" s="327" t="str">
        <f>IF(I73&gt;0,(_xlfn.XLOOKUP(E73,tbl_staff_list[Name],tbl_staff_list[Daily_Rate],0,0))*I73,"")</f>
        <v/>
      </c>
      <c r="P73" s="326" t="str">
        <f t="shared" si="1"/>
        <v/>
      </c>
      <c r="Q73" s="165"/>
      <c r="R73" s="162"/>
      <c r="S73" s="11"/>
      <c r="T73" s="11"/>
      <c r="U73" s="11"/>
      <c r="V73" s="11"/>
    </row>
    <row r="74" spans="2:22" x14ac:dyDescent="0.25">
      <c r="B74" s="154"/>
      <c r="C74" s="152"/>
      <c r="D74" s="151"/>
      <c r="E74" s="154"/>
      <c r="F74" s="154"/>
      <c r="G74" s="163"/>
      <c r="H74" s="163"/>
      <c r="I74" s="166"/>
      <c r="J74" s="166"/>
      <c r="K74" s="167"/>
      <c r="L74" s="167"/>
      <c r="M74" s="167"/>
      <c r="N74" s="327" t="str">
        <f>IF(I74&gt;0,(_xlfn.XLOOKUP(E74,tbl_staff_list[Name],tbl_staff_list[Daily_Rate],0,0))*J74,"")</f>
        <v/>
      </c>
      <c r="O74" s="327" t="str">
        <f>IF(I74&gt;0,(_xlfn.XLOOKUP(E74,tbl_staff_list[Name],tbl_staff_list[Daily_Rate],0,0))*I74,"")</f>
        <v/>
      </c>
      <c r="P74" s="326" t="str">
        <f t="shared" si="1"/>
        <v/>
      </c>
      <c r="Q74" s="164"/>
      <c r="R74" s="161"/>
      <c r="S74" s="11"/>
      <c r="T74" s="11"/>
      <c r="U74" s="11"/>
      <c r="V74" s="11"/>
    </row>
    <row r="75" spans="2:22" x14ac:dyDescent="0.25">
      <c r="B75" s="154"/>
      <c r="C75" s="153"/>
      <c r="D75" s="151"/>
      <c r="E75" s="154"/>
      <c r="F75" s="154"/>
      <c r="G75" s="163"/>
      <c r="H75" s="163"/>
      <c r="I75" s="166"/>
      <c r="J75" s="166"/>
      <c r="K75" s="168"/>
      <c r="L75" s="168"/>
      <c r="M75" s="168"/>
      <c r="N75" s="327" t="str">
        <f>IF(I75&gt;0,(_xlfn.XLOOKUP(E75,tbl_staff_list[Name],tbl_staff_list[Daily_Rate],0,0))*J75,"")</f>
        <v/>
      </c>
      <c r="O75" s="327" t="str">
        <f>IF(I75&gt;0,(_xlfn.XLOOKUP(E75,tbl_staff_list[Name],tbl_staff_list[Daily_Rate],0,0))*I75,"")</f>
        <v/>
      </c>
      <c r="P75" s="326" t="str">
        <f t="shared" si="1"/>
        <v/>
      </c>
      <c r="Q75" s="165"/>
      <c r="R75" s="162"/>
      <c r="S75" s="11"/>
      <c r="T75" s="11"/>
      <c r="U75" s="11"/>
      <c r="V75" s="11"/>
    </row>
    <row r="76" spans="2:22" x14ac:dyDescent="0.25">
      <c r="B76" s="154"/>
      <c r="C76" s="152"/>
      <c r="D76" s="151"/>
      <c r="E76" s="154"/>
      <c r="F76" s="154"/>
      <c r="G76" s="163"/>
      <c r="H76" s="163"/>
      <c r="I76" s="166"/>
      <c r="J76" s="166"/>
      <c r="K76" s="167"/>
      <c r="L76" s="167"/>
      <c r="M76" s="167"/>
      <c r="N76" s="327" t="str">
        <f>IF(I76&gt;0,(_xlfn.XLOOKUP(E76,tbl_staff_list[Name],tbl_staff_list[Daily_Rate],0,0))*J76,"")</f>
        <v/>
      </c>
      <c r="O76" s="327" t="str">
        <f>IF(I76&gt;0,(_xlfn.XLOOKUP(E76,tbl_staff_list[Name],tbl_staff_list[Daily_Rate],0,0))*I76,"")</f>
        <v/>
      </c>
      <c r="P76" s="326" t="str">
        <f t="shared" si="1"/>
        <v/>
      </c>
      <c r="Q76" s="164"/>
      <c r="R76" s="161"/>
      <c r="S76" s="11"/>
      <c r="T76" s="11"/>
      <c r="U76" s="11"/>
      <c r="V76" s="11"/>
    </row>
    <row r="77" spans="2:22" x14ac:dyDescent="0.25">
      <c r="B77" s="154"/>
      <c r="C77" s="153"/>
      <c r="D77" s="151"/>
      <c r="E77" s="154"/>
      <c r="F77" s="154"/>
      <c r="G77" s="163"/>
      <c r="H77" s="163"/>
      <c r="I77" s="166"/>
      <c r="J77" s="166"/>
      <c r="K77" s="168"/>
      <c r="L77" s="168"/>
      <c r="M77" s="168"/>
      <c r="N77" s="327" t="str">
        <f>IF(I77&gt;0,(_xlfn.XLOOKUP(E77,tbl_staff_list[Name],tbl_staff_list[Daily_Rate],0,0))*J77,"")</f>
        <v/>
      </c>
      <c r="O77" s="327" t="str">
        <f>IF(I77&gt;0,(_xlfn.XLOOKUP(E77,tbl_staff_list[Name],tbl_staff_list[Daily_Rate],0,0))*I77,"")</f>
        <v/>
      </c>
      <c r="P77" s="326" t="str">
        <f t="shared" si="1"/>
        <v/>
      </c>
      <c r="Q77" s="165"/>
      <c r="R77" s="162"/>
      <c r="S77" s="11"/>
      <c r="T77" s="11"/>
      <c r="U77" s="11"/>
      <c r="V77" s="11"/>
    </row>
    <row r="78" spans="2:22" x14ac:dyDescent="0.25">
      <c r="B78" s="154"/>
      <c r="C78" s="152"/>
      <c r="D78" s="151"/>
      <c r="E78" s="154"/>
      <c r="F78" s="154"/>
      <c r="G78" s="163"/>
      <c r="H78" s="163"/>
      <c r="I78" s="166"/>
      <c r="J78" s="166"/>
      <c r="K78" s="167"/>
      <c r="L78" s="167"/>
      <c r="M78" s="167"/>
      <c r="N78" s="327" t="str">
        <f>IF(I78&gt;0,(_xlfn.XLOOKUP(E78,tbl_staff_list[Name],tbl_staff_list[Daily_Rate],0,0))*J78,"")</f>
        <v/>
      </c>
      <c r="O78" s="327" t="str">
        <f>IF(I78&gt;0,(_xlfn.XLOOKUP(E78,tbl_staff_list[Name],tbl_staff_list[Daily_Rate],0,0))*I78,"")</f>
        <v/>
      </c>
      <c r="P78" s="326" t="str">
        <f t="shared" si="1"/>
        <v/>
      </c>
      <c r="Q78" s="164"/>
      <c r="R78" s="161"/>
      <c r="S78" s="11"/>
      <c r="T78" s="11"/>
      <c r="U78" s="11"/>
      <c r="V78" s="11"/>
    </row>
    <row r="79" spans="2:22" x14ac:dyDescent="0.25">
      <c r="B79" s="154"/>
      <c r="C79" s="153"/>
      <c r="D79" s="151"/>
      <c r="E79" s="154"/>
      <c r="F79" s="154"/>
      <c r="G79" s="163"/>
      <c r="H79" s="163"/>
      <c r="I79" s="166"/>
      <c r="J79" s="166"/>
      <c r="K79" s="168"/>
      <c r="L79" s="168"/>
      <c r="M79" s="168"/>
      <c r="N79" s="327" t="str">
        <f>IF(I79&gt;0,(_xlfn.XLOOKUP(E79,tbl_staff_list[Name],tbl_staff_list[Daily_Rate],0,0))*J79,"")</f>
        <v/>
      </c>
      <c r="O79" s="327" t="str">
        <f>IF(I79&gt;0,(_xlfn.XLOOKUP(E79,tbl_staff_list[Name],tbl_staff_list[Daily_Rate],0,0))*I79,"")</f>
        <v/>
      </c>
      <c r="P79" s="326" t="str">
        <f t="shared" si="1"/>
        <v/>
      </c>
      <c r="Q79" s="165"/>
      <c r="R79" s="162"/>
      <c r="S79" s="11"/>
      <c r="T79" s="11"/>
      <c r="U79" s="11"/>
      <c r="V79" s="11"/>
    </row>
    <row r="80" spans="2:22" x14ac:dyDescent="0.25">
      <c r="B80" s="154"/>
      <c r="C80" s="152"/>
      <c r="D80" s="151"/>
      <c r="E80" s="154"/>
      <c r="F80" s="154"/>
      <c r="G80" s="163"/>
      <c r="H80" s="163"/>
      <c r="I80" s="166"/>
      <c r="J80" s="166"/>
      <c r="K80" s="167"/>
      <c r="L80" s="167"/>
      <c r="M80" s="167"/>
      <c r="N80" s="327" t="str">
        <f>IF(I80&gt;0,(_xlfn.XLOOKUP(E80,tbl_staff_list[Name],tbl_staff_list[Daily_Rate],0,0))*J80,"")</f>
        <v/>
      </c>
      <c r="O80" s="327" t="str">
        <f>IF(I80&gt;0,(_xlfn.XLOOKUP(E80,tbl_staff_list[Name],tbl_staff_list[Daily_Rate],0,0))*I80,"")</f>
        <v/>
      </c>
      <c r="P80" s="326" t="str">
        <f t="shared" si="1"/>
        <v/>
      </c>
      <c r="Q80" s="164"/>
      <c r="R80" s="161"/>
      <c r="S80" s="11"/>
      <c r="T80" s="11"/>
      <c r="U80" s="11"/>
      <c r="V80" s="11"/>
    </row>
    <row r="81" spans="2:22" x14ac:dyDescent="0.25">
      <c r="B81" s="154"/>
      <c r="C81" s="153"/>
      <c r="D81" s="151"/>
      <c r="E81" s="154"/>
      <c r="F81" s="154"/>
      <c r="G81" s="163"/>
      <c r="H81" s="163"/>
      <c r="I81" s="166"/>
      <c r="J81" s="166"/>
      <c r="K81" s="168"/>
      <c r="L81" s="168"/>
      <c r="M81" s="168"/>
      <c r="N81" s="327" t="str">
        <f>IF(I81&gt;0,(_xlfn.XLOOKUP(E81,tbl_staff_list[Name],tbl_staff_list[Daily_Rate],0,0))*J81,"")</f>
        <v/>
      </c>
      <c r="O81" s="327" t="str">
        <f>IF(I81&gt;0,(_xlfn.XLOOKUP(E81,tbl_staff_list[Name],tbl_staff_list[Daily_Rate],0,0))*I81,"")</f>
        <v/>
      </c>
      <c r="P81" s="326" t="str">
        <f t="shared" si="1"/>
        <v/>
      </c>
      <c r="Q81" s="165"/>
      <c r="R81" s="162"/>
      <c r="S81" s="11"/>
      <c r="T81" s="11"/>
      <c r="U81" s="11"/>
      <c r="V81" s="11"/>
    </row>
    <row r="82" spans="2:22" x14ac:dyDescent="0.25">
      <c r="B82" s="154"/>
      <c r="C82" s="152"/>
      <c r="D82" s="151"/>
      <c r="E82" s="154"/>
      <c r="F82" s="154"/>
      <c r="G82" s="163"/>
      <c r="H82" s="163"/>
      <c r="I82" s="166"/>
      <c r="J82" s="166"/>
      <c r="K82" s="167"/>
      <c r="L82" s="167"/>
      <c r="M82" s="167"/>
      <c r="N82" s="327" t="str">
        <f>IF(I82&gt;0,(_xlfn.XLOOKUP(E82,tbl_staff_list[Name],tbl_staff_list[Daily_Rate],0,0))*J82,"")</f>
        <v/>
      </c>
      <c r="O82" s="327" t="str">
        <f>IF(I82&gt;0,(_xlfn.XLOOKUP(E82,tbl_staff_list[Name],tbl_staff_list[Daily_Rate],0,0))*I82,"")</f>
        <v/>
      </c>
      <c r="P82" s="326" t="str">
        <f t="shared" si="1"/>
        <v/>
      </c>
      <c r="Q82" s="164"/>
      <c r="R82" s="161"/>
      <c r="S82" s="11"/>
      <c r="T82" s="11"/>
      <c r="U82" s="11"/>
      <c r="V82" s="11"/>
    </row>
    <row r="83" spans="2:22" x14ac:dyDescent="0.25">
      <c r="B83" s="154"/>
      <c r="C83" s="153"/>
      <c r="D83" s="151"/>
      <c r="E83" s="154"/>
      <c r="F83" s="154"/>
      <c r="G83" s="163"/>
      <c r="H83" s="163"/>
      <c r="I83" s="166"/>
      <c r="J83" s="166"/>
      <c r="K83" s="168"/>
      <c r="L83" s="168"/>
      <c r="M83" s="168"/>
      <c r="N83" s="327" t="str">
        <f>IF(I83&gt;0,(_xlfn.XLOOKUP(E83,tbl_staff_list[Name],tbl_staff_list[Daily_Rate],0,0))*J83,"")</f>
        <v/>
      </c>
      <c r="O83" s="327" t="str">
        <f>IF(I83&gt;0,(_xlfn.XLOOKUP(E83,tbl_staff_list[Name],tbl_staff_list[Daily_Rate],0,0))*I83,"")</f>
        <v/>
      </c>
      <c r="P83" s="326" t="str">
        <f t="shared" si="1"/>
        <v/>
      </c>
      <c r="Q83" s="165"/>
      <c r="R83" s="162"/>
      <c r="S83" s="11"/>
      <c r="T83" s="11"/>
      <c r="U83" s="11"/>
      <c r="V83" s="11"/>
    </row>
    <row r="84" spans="2:22" x14ac:dyDescent="0.25">
      <c r="B84" s="154"/>
      <c r="C84" s="152"/>
      <c r="D84" s="151"/>
      <c r="E84" s="154"/>
      <c r="F84" s="154"/>
      <c r="G84" s="163"/>
      <c r="H84" s="163"/>
      <c r="I84" s="166"/>
      <c r="J84" s="166"/>
      <c r="K84" s="167"/>
      <c r="L84" s="167"/>
      <c r="M84" s="167"/>
      <c r="N84" s="327" t="str">
        <f>IF(I84&gt;0,(_xlfn.XLOOKUP(E84,tbl_staff_list[Name],tbl_staff_list[Daily_Rate],0,0))*J84,"")</f>
        <v/>
      </c>
      <c r="O84" s="327" t="str">
        <f>IF(I84&gt;0,(_xlfn.XLOOKUP(E84,tbl_staff_list[Name],tbl_staff_list[Daily_Rate],0,0))*I84,"")</f>
        <v/>
      </c>
      <c r="P84" s="326" t="str">
        <f t="shared" si="1"/>
        <v/>
      </c>
      <c r="Q84" s="164"/>
      <c r="R84" s="161"/>
      <c r="S84" s="11"/>
      <c r="T84" s="11"/>
      <c r="U84" s="11"/>
      <c r="V84" s="11"/>
    </row>
    <row r="85" spans="2:22" x14ac:dyDescent="0.25">
      <c r="B85" s="154"/>
      <c r="C85" s="153"/>
      <c r="D85" s="151"/>
      <c r="E85" s="154"/>
      <c r="F85" s="154"/>
      <c r="G85" s="163"/>
      <c r="H85" s="163"/>
      <c r="I85" s="166"/>
      <c r="J85" s="166"/>
      <c r="K85" s="168"/>
      <c r="L85" s="168"/>
      <c r="M85" s="168"/>
      <c r="N85" s="327" t="str">
        <f>IF(I85&gt;0,(_xlfn.XLOOKUP(E85,tbl_staff_list[Name],tbl_staff_list[Daily_Rate],0,0))*J85,"")</f>
        <v/>
      </c>
      <c r="O85" s="327" t="str">
        <f>IF(I85&gt;0,(_xlfn.XLOOKUP(E85,tbl_staff_list[Name],tbl_staff_list[Daily_Rate],0,0))*I85,"")</f>
        <v/>
      </c>
      <c r="P85" s="328" t="str">
        <f t="shared" si="1"/>
        <v/>
      </c>
      <c r="Q85" s="165"/>
      <c r="R85" s="162"/>
      <c r="S85" s="11"/>
      <c r="T85" s="11"/>
      <c r="U85" s="11"/>
      <c r="V85" s="11"/>
    </row>
    <row r="86" spans="2:22" x14ac:dyDescent="0.25">
      <c r="B86" s="154"/>
      <c r="C86" s="152"/>
      <c r="D86" s="151"/>
      <c r="E86" s="154"/>
      <c r="F86" s="154"/>
      <c r="G86" s="163"/>
      <c r="H86" s="163"/>
      <c r="I86" s="166"/>
      <c r="J86" s="166"/>
      <c r="K86" s="167"/>
      <c r="L86" s="167"/>
      <c r="M86" s="167"/>
      <c r="N86" s="327" t="str">
        <f>IF(I86&gt;0,(_xlfn.XLOOKUP(E86,tbl_staff_list[Name],tbl_staff_list[Daily_Rate],0,0))*J86,"")</f>
        <v/>
      </c>
      <c r="O86" s="327" t="str">
        <f>IF(I86&gt;0,(_xlfn.XLOOKUP(E86,tbl_staff_list[Name],tbl_staff_list[Daily_Rate],0,0))*I86,"")</f>
        <v/>
      </c>
      <c r="P86" s="328" t="str">
        <f t="shared" si="1"/>
        <v/>
      </c>
      <c r="Q86" s="164"/>
      <c r="R86" s="161"/>
      <c r="S86" s="11"/>
      <c r="T86" s="11"/>
      <c r="U86" s="11"/>
      <c r="V86" s="11"/>
    </row>
    <row r="87" spans="2:22" x14ac:dyDescent="0.25">
      <c r="B87" s="154"/>
      <c r="C87" s="153"/>
      <c r="D87" s="151"/>
      <c r="E87" s="154"/>
      <c r="F87" s="154"/>
      <c r="G87" s="163"/>
      <c r="H87" s="163"/>
      <c r="I87" s="166"/>
      <c r="J87" s="166"/>
      <c r="K87" s="168"/>
      <c r="L87" s="168"/>
      <c r="M87" s="168"/>
      <c r="N87" s="327" t="str">
        <f>IF(I87&gt;0,(_xlfn.XLOOKUP(E87,tbl_staff_list[Name],tbl_staff_list[Daily_Rate],0,0))*J87,"")</f>
        <v/>
      </c>
      <c r="O87" s="327" t="str">
        <f>IF(I87&gt;0,(_xlfn.XLOOKUP(E87,tbl_staff_list[Name],tbl_staff_list[Daily_Rate],0,0))*I87,"")</f>
        <v/>
      </c>
      <c r="P87" s="328" t="str">
        <f t="shared" si="1"/>
        <v/>
      </c>
      <c r="Q87" s="165"/>
      <c r="R87" s="162"/>
      <c r="S87" s="11"/>
      <c r="T87" s="11"/>
      <c r="U87" s="11"/>
      <c r="V87" s="11"/>
    </row>
    <row r="88" spans="2:22" x14ac:dyDescent="0.25">
      <c r="B88" s="154"/>
      <c r="C88" s="152"/>
      <c r="D88" s="151"/>
      <c r="E88" s="154"/>
      <c r="F88" s="154"/>
      <c r="G88" s="163"/>
      <c r="H88" s="163"/>
      <c r="I88" s="166"/>
      <c r="J88" s="166"/>
      <c r="K88" s="167"/>
      <c r="L88" s="167"/>
      <c r="M88" s="167"/>
      <c r="N88" s="327" t="str">
        <f>IF(I88&gt;0,(_xlfn.XLOOKUP(E88,tbl_staff_list[Name],tbl_staff_list[Daily_Rate],0,0))*J88,"")</f>
        <v/>
      </c>
      <c r="O88" s="327" t="str">
        <f>IF(I88&gt;0,(_xlfn.XLOOKUP(E88,tbl_staff_list[Name],tbl_staff_list[Daily_Rate],0,0))*I88,"")</f>
        <v/>
      </c>
      <c r="P88" s="328" t="str">
        <f t="shared" si="1"/>
        <v/>
      </c>
      <c r="Q88" s="164"/>
      <c r="R88" s="161"/>
      <c r="S88" s="11"/>
      <c r="T88" s="11"/>
      <c r="U88" s="11"/>
      <c r="V88" s="11"/>
    </row>
    <row r="89" spans="2:22" x14ac:dyDescent="0.25">
      <c r="B89" s="154"/>
      <c r="C89" s="153"/>
      <c r="D89" s="151"/>
      <c r="E89" s="154"/>
      <c r="F89" s="154"/>
      <c r="G89" s="163"/>
      <c r="H89" s="163"/>
      <c r="I89" s="166"/>
      <c r="J89" s="166"/>
      <c r="K89" s="168"/>
      <c r="L89" s="168"/>
      <c r="M89" s="168"/>
      <c r="N89" s="327" t="str">
        <f>IF(I89&gt;0,(_xlfn.XLOOKUP(E89,tbl_staff_list[Name],tbl_staff_list[Daily_Rate],0,0))*J89,"")</f>
        <v/>
      </c>
      <c r="O89" s="327" t="str">
        <f>IF(I89&gt;0,(_xlfn.XLOOKUP(E89,tbl_staff_list[Name],tbl_staff_list[Daily_Rate],0,0))*I89,"")</f>
        <v/>
      </c>
      <c r="P89" s="328" t="str">
        <f t="shared" si="1"/>
        <v/>
      </c>
      <c r="Q89" s="165"/>
      <c r="R89" s="162"/>
      <c r="S89" s="11"/>
      <c r="T89" s="11"/>
      <c r="U89" s="11"/>
      <c r="V89" s="11"/>
    </row>
    <row r="90" spans="2:22" x14ac:dyDescent="0.25">
      <c r="B90" s="154"/>
      <c r="C90" s="152"/>
      <c r="D90" s="151"/>
      <c r="E90" s="154"/>
      <c r="F90" s="154"/>
      <c r="G90" s="163"/>
      <c r="H90" s="163"/>
      <c r="I90" s="166"/>
      <c r="J90" s="166"/>
      <c r="K90" s="167"/>
      <c r="L90" s="167"/>
      <c r="M90" s="167"/>
      <c r="N90" s="327" t="str">
        <f>IF(I90&gt;0,(_xlfn.XLOOKUP(E90,tbl_staff_list[Name],tbl_staff_list[Daily_Rate],0,0))*J90,"")</f>
        <v/>
      </c>
      <c r="O90" s="327" t="str">
        <f>IF(I90&gt;0,(_xlfn.XLOOKUP(E90,tbl_staff_list[Name],tbl_staff_list[Daily_Rate],0,0))*I90,"")</f>
        <v/>
      </c>
      <c r="P90" s="328" t="str">
        <f t="shared" si="1"/>
        <v/>
      </c>
      <c r="Q90" s="164"/>
      <c r="R90" s="161"/>
      <c r="S90" s="11"/>
      <c r="T90" s="11"/>
      <c r="U90" s="11"/>
      <c r="V90" s="11"/>
    </row>
    <row r="91" spans="2:22" x14ac:dyDescent="0.25">
      <c r="B91" s="154"/>
      <c r="C91" s="153"/>
      <c r="D91" s="151"/>
      <c r="E91" s="154"/>
      <c r="F91" s="154"/>
      <c r="G91" s="163"/>
      <c r="H91" s="163"/>
      <c r="I91" s="166"/>
      <c r="J91" s="166"/>
      <c r="K91" s="168"/>
      <c r="L91" s="168"/>
      <c r="M91" s="168"/>
      <c r="N91" s="327" t="str">
        <f>IF(I91&gt;0,(_xlfn.XLOOKUP(E91,tbl_staff_list[Name],tbl_staff_list[Daily_Rate],0,0))*J91,"")</f>
        <v/>
      </c>
      <c r="O91" s="327" t="str">
        <f>IF(I91&gt;0,(_xlfn.XLOOKUP(E91,tbl_staff_list[Name],tbl_staff_list[Daily_Rate],0,0))*I91,"")</f>
        <v/>
      </c>
      <c r="P91" s="328" t="str">
        <f t="shared" si="1"/>
        <v/>
      </c>
      <c r="Q91" s="165"/>
      <c r="R91" s="162"/>
      <c r="S91" s="11"/>
      <c r="T91" s="11"/>
      <c r="U91" s="11"/>
      <c r="V91" s="11"/>
    </row>
    <row r="92" spans="2:22" x14ac:dyDescent="0.25">
      <c r="B92" s="154"/>
      <c r="C92" s="152"/>
      <c r="D92" s="151"/>
      <c r="E92" s="154"/>
      <c r="F92" s="154"/>
      <c r="G92" s="163"/>
      <c r="H92" s="163"/>
      <c r="I92" s="166"/>
      <c r="J92" s="166"/>
      <c r="K92" s="167"/>
      <c r="L92" s="167"/>
      <c r="M92" s="167"/>
      <c r="N92" s="327" t="str">
        <f>IF(I92&gt;0,(_xlfn.XLOOKUP(E92,tbl_staff_list[Name],tbl_staff_list[Daily_Rate],0,0))*J92,"")</f>
        <v/>
      </c>
      <c r="O92" s="327" t="str">
        <f>IF(I92&gt;0,(_xlfn.XLOOKUP(E92,tbl_staff_list[Name],tbl_staff_list[Daily_Rate],0,0))*I92,"")</f>
        <v/>
      </c>
      <c r="P92" s="328" t="str">
        <f t="shared" si="1"/>
        <v/>
      </c>
      <c r="Q92" s="164"/>
      <c r="R92" s="161"/>
      <c r="S92" s="11"/>
      <c r="T92" s="11"/>
      <c r="U92" s="11"/>
      <c r="V92" s="11"/>
    </row>
    <row r="93" spans="2:22" x14ac:dyDescent="0.25">
      <c r="B93" s="154"/>
      <c r="C93" s="153"/>
      <c r="D93" s="151"/>
      <c r="E93" s="154"/>
      <c r="F93" s="154"/>
      <c r="G93" s="163"/>
      <c r="H93" s="163"/>
      <c r="I93" s="166"/>
      <c r="J93" s="166"/>
      <c r="K93" s="168"/>
      <c r="L93" s="168"/>
      <c r="M93" s="168"/>
      <c r="N93" s="327" t="str">
        <f>IF(I93&gt;0,(_xlfn.XLOOKUP(E93,tbl_staff_list[Name],tbl_staff_list[Daily_Rate],0,0))*J93,"")</f>
        <v/>
      </c>
      <c r="O93" s="327" t="str">
        <f>IF(I93&gt;0,(_xlfn.XLOOKUP(E93,tbl_staff_list[Name],tbl_staff_list[Daily_Rate],0,0))*I93,"")</f>
        <v/>
      </c>
      <c r="P93" s="328" t="str">
        <f t="shared" si="1"/>
        <v/>
      </c>
      <c r="Q93" s="165"/>
      <c r="R93" s="162"/>
      <c r="S93" s="11"/>
      <c r="T93" s="11"/>
      <c r="U93" s="11"/>
      <c r="V93" s="11"/>
    </row>
    <row r="94" spans="2:22" x14ac:dyDescent="0.25">
      <c r="B94" s="154"/>
      <c r="C94" s="152"/>
      <c r="D94" s="151"/>
      <c r="E94" s="154"/>
      <c r="F94" s="154"/>
      <c r="G94" s="163"/>
      <c r="H94" s="163"/>
      <c r="I94" s="166"/>
      <c r="J94" s="166"/>
      <c r="K94" s="167"/>
      <c r="L94" s="167"/>
      <c r="M94" s="167"/>
      <c r="N94" s="327" t="str">
        <f>IF(I94&gt;0,(_xlfn.XLOOKUP(E94,tbl_staff_list[Name],tbl_staff_list[Daily_Rate],0,0))*J94,"")</f>
        <v/>
      </c>
      <c r="O94" s="327" t="str">
        <f>IF(I94&gt;0,(_xlfn.XLOOKUP(E94,tbl_staff_list[Name],tbl_staff_list[Daily_Rate],0,0))*I94,"")</f>
        <v/>
      </c>
      <c r="P94" s="328" t="str">
        <f t="shared" si="1"/>
        <v/>
      </c>
      <c r="Q94" s="164"/>
      <c r="R94" s="161"/>
      <c r="S94" s="11"/>
      <c r="T94" s="11"/>
      <c r="U94" s="11"/>
      <c r="V94" s="11"/>
    </row>
    <row r="95" spans="2:22" x14ac:dyDescent="0.25">
      <c r="B95" s="154"/>
      <c r="C95" s="153"/>
      <c r="D95" s="151"/>
      <c r="E95" s="154"/>
      <c r="F95" s="154"/>
      <c r="G95" s="163"/>
      <c r="H95" s="163"/>
      <c r="I95" s="166"/>
      <c r="J95" s="166"/>
      <c r="K95" s="168"/>
      <c r="L95" s="168"/>
      <c r="M95" s="168"/>
      <c r="N95" s="327" t="str">
        <f>IF(I95&gt;0,(_xlfn.XLOOKUP(E95,tbl_staff_list[Name],tbl_staff_list[Daily_Rate],0,0))*J95,"")</f>
        <v/>
      </c>
      <c r="O95" s="327" t="str">
        <f>IF(I95&gt;0,(_xlfn.XLOOKUP(E95,tbl_staff_list[Name],tbl_staff_list[Daily_Rate],0,0))*I95,"")</f>
        <v/>
      </c>
      <c r="P95" s="328" t="str">
        <f t="shared" si="1"/>
        <v/>
      </c>
      <c r="Q95" s="165"/>
      <c r="R95" s="162"/>
      <c r="S95" s="11"/>
      <c r="T95" s="11"/>
      <c r="U95" s="11"/>
      <c r="V95" s="11"/>
    </row>
    <row r="96" spans="2:22" x14ac:dyDescent="0.25">
      <c r="B96" s="154"/>
      <c r="C96" s="152"/>
      <c r="D96" s="151"/>
      <c r="E96" s="154"/>
      <c r="F96" s="154"/>
      <c r="G96" s="163"/>
      <c r="H96" s="163"/>
      <c r="I96" s="166"/>
      <c r="J96" s="166"/>
      <c r="K96" s="167"/>
      <c r="L96" s="167"/>
      <c r="M96" s="167"/>
      <c r="N96" s="327" t="str">
        <f>IF(I96&gt;0,(_xlfn.XLOOKUP(E96,tbl_staff_list[Name],tbl_staff_list[Daily_Rate],0,0))*J96,"")</f>
        <v/>
      </c>
      <c r="O96" s="327" t="str">
        <f>IF(I96&gt;0,(_xlfn.XLOOKUP(E96,tbl_staff_list[Name],tbl_staff_list[Daily_Rate],0,0))*I96,"")</f>
        <v/>
      </c>
      <c r="P96" s="328" t="str">
        <f t="shared" si="1"/>
        <v/>
      </c>
      <c r="Q96" s="164"/>
      <c r="R96" s="161"/>
      <c r="S96" s="11"/>
      <c r="T96" s="11"/>
      <c r="U96" s="11"/>
      <c r="V96" s="11"/>
    </row>
    <row r="97" spans="2:22" x14ac:dyDescent="0.25">
      <c r="B97" s="154"/>
      <c r="C97" s="153"/>
      <c r="D97" s="151"/>
      <c r="E97" s="154"/>
      <c r="F97" s="154"/>
      <c r="G97" s="163"/>
      <c r="H97" s="163"/>
      <c r="I97" s="166"/>
      <c r="J97" s="166"/>
      <c r="K97" s="168"/>
      <c r="L97" s="168"/>
      <c r="M97" s="168"/>
      <c r="N97" s="327" t="str">
        <f>IF(I97&gt;0,(_xlfn.XLOOKUP(E97,tbl_staff_list[Name],tbl_staff_list[Daily_Rate],0,0))*J97,"")</f>
        <v/>
      </c>
      <c r="O97" s="327" t="str">
        <f>IF(I97&gt;0,(_xlfn.XLOOKUP(E97,tbl_staff_list[Name],tbl_staff_list[Daily_Rate],0,0))*I97,"")</f>
        <v/>
      </c>
      <c r="P97" s="328" t="str">
        <f t="shared" si="1"/>
        <v/>
      </c>
      <c r="Q97" s="165"/>
      <c r="R97" s="162"/>
      <c r="S97" s="11"/>
      <c r="T97" s="11"/>
      <c r="U97" s="11"/>
      <c r="V97" s="11"/>
    </row>
    <row r="98" spans="2:22" x14ac:dyDescent="0.25">
      <c r="B98" s="154"/>
      <c r="C98" s="152"/>
      <c r="D98" s="151"/>
      <c r="E98" s="154"/>
      <c r="F98" s="154"/>
      <c r="G98" s="163"/>
      <c r="H98" s="163"/>
      <c r="I98" s="166"/>
      <c r="J98" s="166"/>
      <c r="K98" s="167"/>
      <c r="L98" s="167"/>
      <c r="M98" s="167"/>
      <c r="N98" s="327" t="str">
        <f>IF(I98&gt;0,(_xlfn.XLOOKUP(E98,tbl_staff_list[Name],tbl_staff_list[Daily_Rate],0,0))*J98,"")</f>
        <v/>
      </c>
      <c r="O98" s="327" t="str">
        <f>IF(I98&gt;0,(_xlfn.XLOOKUP(E98,tbl_staff_list[Name],tbl_staff_list[Daily_Rate],0,0))*I98,"")</f>
        <v/>
      </c>
      <c r="P98" s="328" t="str">
        <f t="shared" si="1"/>
        <v/>
      </c>
      <c r="Q98" s="164"/>
      <c r="R98" s="161"/>
      <c r="S98" s="11"/>
      <c r="T98" s="11"/>
      <c r="U98" s="11"/>
      <c r="V98" s="11"/>
    </row>
    <row r="99" spans="2:22" x14ac:dyDescent="0.25">
      <c r="B99" s="154"/>
      <c r="C99" s="153"/>
      <c r="D99" s="151"/>
      <c r="E99" s="154"/>
      <c r="F99" s="154"/>
      <c r="G99" s="163"/>
      <c r="H99" s="163"/>
      <c r="I99" s="166"/>
      <c r="J99" s="166"/>
      <c r="K99" s="168"/>
      <c r="L99" s="168"/>
      <c r="M99" s="168"/>
      <c r="N99" s="327" t="str">
        <f>IF(I99&gt;0,(_xlfn.XLOOKUP(E99,tbl_staff_list[Name],tbl_staff_list[Daily_Rate],0,0))*J99,"")</f>
        <v/>
      </c>
      <c r="O99" s="327" t="str">
        <f>IF(I99&gt;0,(_xlfn.XLOOKUP(E99,tbl_staff_list[Name],tbl_staff_list[Daily_Rate],0,0))*I99,"")</f>
        <v/>
      </c>
      <c r="P99" s="328" t="str">
        <f t="shared" si="1"/>
        <v/>
      </c>
      <c r="Q99" s="165"/>
      <c r="R99" s="162"/>
      <c r="S99" s="11"/>
      <c r="T99" s="11"/>
      <c r="U99" s="11"/>
      <c r="V99" s="11"/>
    </row>
    <row r="100" spans="2:22" x14ac:dyDescent="0.25">
      <c r="B100" s="154"/>
      <c r="C100" s="152"/>
      <c r="D100" s="151"/>
      <c r="E100" s="154"/>
      <c r="F100" s="154"/>
      <c r="G100" s="163"/>
      <c r="H100" s="163"/>
      <c r="I100" s="166"/>
      <c r="J100" s="166"/>
      <c r="K100" s="167"/>
      <c r="L100" s="167"/>
      <c r="M100" s="167"/>
      <c r="N100" s="327" t="str">
        <f>IF(I100&gt;0,(_xlfn.XLOOKUP(E100,tbl_staff_list[Name],tbl_staff_list[Daily_Rate],0,0))*J100,"")</f>
        <v/>
      </c>
      <c r="O100" s="327" t="str">
        <f>IF(I100&gt;0,(_xlfn.XLOOKUP(E100,tbl_staff_list[Name],tbl_staff_list[Daily_Rate],0,0))*I100,"")</f>
        <v/>
      </c>
      <c r="P100" s="328" t="str">
        <f t="shared" si="1"/>
        <v/>
      </c>
      <c r="Q100" s="164"/>
      <c r="R100" s="161"/>
      <c r="S100" s="11"/>
      <c r="T100" s="11"/>
      <c r="U100" s="11"/>
      <c r="V100" s="11"/>
    </row>
    <row r="101" spans="2:22" x14ac:dyDescent="0.25">
      <c r="B101" s="154"/>
      <c r="C101" s="153"/>
      <c r="D101" s="151"/>
      <c r="E101" s="154"/>
      <c r="F101" s="154"/>
      <c r="G101" s="163"/>
      <c r="H101" s="163"/>
      <c r="I101" s="166"/>
      <c r="J101" s="166"/>
      <c r="K101" s="168"/>
      <c r="L101" s="168"/>
      <c r="M101" s="168"/>
      <c r="N101" s="327" t="str">
        <f>IF(I101&gt;0,(_xlfn.XLOOKUP(E101,tbl_staff_list[Name],tbl_staff_list[Daily_Rate],0,0))*J101,"")</f>
        <v/>
      </c>
      <c r="O101" s="327" t="str">
        <f>IF(I101&gt;0,(_xlfn.XLOOKUP(E101,tbl_staff_list[Name],tbl_staff_list[Daily_Rate],0,0))*I101,"")</f>
        <v/>
      </c>
      <c r="P101" s="328" t="str">
        <f t="shared" si="1"/>
        <v/>
      </c>
      <c r="Q101" s="165"/>
      <c r="R101" s="162"/>
      <c r="S101" s="11"/>
      <c r="T101" s="11"/>
      <c r="U101" s="11"/>
      <c r="V101" s="11"/>
    </row>
  </sheetData>
  <sheetProtection algorithmName="SHA-512" hashValue="XRMhM3FEvLK5ZZtZcs3yJIAVCY2uNfQundbMdiMidsZTulCJGj6evHST17NNyMnZf6lE8xekscPJK7Jikm7WLw==" saltValue="KSjI88h076zMRBZAVmby0Q==" spinCount="100000" sheet="1" objects="1" scenarios="1" formatCells="0" formatColumns="0" formatRows="0" sort="0" autoFilter="0"/>
  <protectedRanges>
    <protectedRange sqref="B3:P101" name="report_sort"/>
    <protectedRange sqref="R3" name="Report_Check_Holidays"/>
  </protectedRanges>
  <autoFilter ref="B3:M6" xr:uid="{3204F54E-DA0D-49E1-AB8F-6DC47B44B437}"/>
  <mergeCells count="2">
    <mergeCell ref="R1:S1"/>
    <mergeCell ref="B1:M1"/>
  </mergeCells>
  <conditionalFormatting sqref="B4:O4 B5:P101 R5:V101">
    <cfRule type="expression" dxfId="62" priority="5">
      <formula>ISERROR(B4)</formula>
    </cfRule>
  </conditionalFormatting>
  <conditionalFormatting sqref="C4:C101">
    <cfRule type="expression" dxfId="61" priority="30">
      <formula>AND(C4&lt;&gt;1, H4 &gt;= 1)</formula>
    </cfRule>
  </conditionalFormatting>
  <conditionalFormatting sqref="C7:D7">
    <cfRule type="expression" dxfId="60" priority="8">
      <formula>AND(ISNUMBER($J7), $J7 &lt;=0)</formula>
    </cfRule>
  </conditionalFormatting>
  <conditionalFormatting sqref="H4:H101">
    <cfRule type="expression" dxfId="59" priority="29">
      <formula>AND(C4&lt;&gt;1,H4 &gt;= 1)</formula>
    </cfRule>
    <cfRule type="expression" dxfId="58" priority="31">
      <formula>AND(ISNUMBER(H4), H4 = 0)</formula>
    </cfRule>
    <cfRule type="expression" dxfId="57" priority="32">
      <formula>H4&gt;0</formula>
    </cfRule>
  </conditionalFormatting>
  <conditionalFormatting sqref="I4:I101">
    <cfRule type="expression" dxfId="56" priority="33">
      <formula>AND(ISNUMBER(I4), I4 = 0)</formula>
    </cfRule>
    <cfRule type="expression" dxfId="55" priority="35">
      <formula>I4&lt;0</formula>
    </cfRule>
  </conditionalFormatting>
  <conditionalFormatting sqref="J4:J101">
    <cfRule type="expression" dxfId="54" priority="4">
      <formula>ISTEXT(J4)</formula>
    </cfRule>
    <cfRule type="expression" dxfId="53" priority="7">
      <formula>AND(ISNUMBER($J4), $J4 &lt;=0)</formula>
    </cfRule>
  </conditionalFormatting>
  <conditionalFormatting sqref="K4:K101">
    <cfRule type="expression" dxfId="52" priority="3">
      <formula>AND(NOT(ISNUMBER(J4)),J4&lt;&gt;"")</formula>
    </cfRule>
    <cfRule type="expression" dxfId="51" priority="9">
      <formula>AND(ISNUMBER(K4), K4 =0)</formula>
    </cfRule>
    <cfRule type="expression" dxfId="50" priority="10">
      <formula>AND(ISNUMBER(K4), K4 &lt;0)</formula>
    </cfRule>
    <cfRule type="expression" dxfId="49" priority="11">
      <formula>AND(ISNUMBER(K4), K4 &gt;= 1)</formula>
    </cfRule>
  </conditionalFormatting>
  <conditionalFormatting sqref="P4">
    <cfRule type="expression" dxfId="48" priority="2" stopIfTrue="1">
      <formula>$C4&lt;&gt;""</formula>
    </cfRule>
  </conditionalFormatting>
  <conditionalFormatting sqref="P4:P100">
    <cfRule type="iconSet" priority="1">
      <iconSet reverse="1">
        <cfvo type="percent" val="0"/>
        <cfvo type="percentile" val="0.01"/>
        <cfvo type="num" val="0.01"/>
      </iconSet>
    </cfRule>
  </conditionalFormatting>
  <conditionalFormatting sqref="R3">
    <cfRule type="expression" dxfId="47" priority="6">
      <formula>$V$1</formula>
    </cfRule>
  </conditionalFormatting>
  <conditionalFormatting sqref="R5:V101 B4:O4 B5:P101">
    <cfRule type="expression" dxfId="46" priority="13">
      <formula>B4&lt;&gt;""</formula>
    </cfRule>
  </conditionalFormatting>
  <conditionalFormatting sqref="T5:T101">
    <cfRule type="expression" dxfId="45" priority="12">
      <formula>T5=""</formula>
    </cfRule>
  </conditionalFormatting>
  <conditionalFormatting sqref="T5:V101">
    <cfRule type="expression" dxfId="44" priority="36">
      <formula>ISNUM(T6)</formula>
    </cfRule>
  </conditionalFormatting>
  <dataValidations count="2">
    <dataValidation type="list" allowBlank="1" showInputMessage="1" showErrorMessage="1" sqref="R3" xr:uid="{2895A6B6-ABD1-4EEC-98B5-DC2E99E96919}">
      <formula1>Used_done</formula1>
    </dataValidation>
    <dataValidation type="whole" showInputMessage="1" showErrorMessage="1" errorTitle="Min 1 and Max 21" error="Min 1 and Max 21" promptTitle="Days to check" prompt="How many days to check prior to start date. Min 1 days and Max of 21 days" sqref="U1" xr:uid="{5CC80E75-6404-43D4-B2EB-9D2C1C6CE0C8}">
      <formula1>1</formula1>
      <formula2>21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0ABE8-D42F-462B-81C3-ABB3445C7CE0}">
  <sheetPr codeName="Sheet2">
    <pageSetUpPr fitToPage="1"/>
  </sheetPr>
  <dimension ref="A1:BM86"/>
  <sheetViews>
    <sheetView showGridLines="0" showRuler="0" zoomScale="90" zoomScaleNormal="90" zoomScalePageLayoutView="70" workbookViewId="0">
      <pane xSplit="5" ySplit="6" topLeftCell="F7" activePane="bottomRight" state="frozen"/>
      <selection pane="topRight" activeCell="F1" sqref="F1"/>
      <selection pane="bottomLeft" activeCell="A7" sqref="A7"/>
      <selection pane="bottomRight" activeCell="F4" sqref="F4"/>
    </sheetView>
  </sheetViews>
  <sheetFormatPr defaultColWidth="8.85546875" defaultRowHeight="17.45" customHeight="1" x14ac:dyDescent="0.25"/>
  <cols>
    <col min="1" max="1" width="1.42578125" style="18" customWidth="1"/>
    <col min="2" max="2" width="5.5703125" style="88" customWidth="1"/>
    <col min="3" max="3" width="52.5703125" style="18" customWidth="1"/>
    <col min="4" max="4" width="19.140625" style="107" customWidth="1"/>
    <col min="5" max="5" width="7.140625" style="18" customWidth="1"/>
    <col min="6" max="6" width="12.140625" style="13" bestFit="1" customWidth="1"/>
    <col min="7" max="7" width="12.140625" style="18" bestFit="1" customWidth="1"/>
    <col min="8" max="8" width="8" style="18" customWidth="1"/>
    <col min="9" max="9" width="9.140625" style="13" customWidth="1"/>
    <col min="10" max="18" width="3.140625" style="18" bestFit="1" customWidth="1"/>
    <col min="19" max="19" width="2.85546875" style="18" bestFit="1" customWidth="1"/>
    <col min="20" max="23" width="2.140625" style="18" bestFit="1" customWidth="1"/>
    <col min="24" max="24" width="2.5703125" style="18" bestFit="1" customWidth="1"/>
    <col min="25" max="25" width="2.140625" style="18" bestFit="1" customWidth="1"/>
    <col min="26" max="26" width="2.85546875" style="18" bestFit="1" customWidth="1"/>
    <col min="27" max="27" width="2.140625" style="18" bestFit="1" customWidth="1"/>
    <col min="28" max="49" width="3.140625" style="18" bestFit="1" customWidth="1"/>
    <col min="50" max="51" width="2.140625" style="18" bestFit="1" customWidth="1"/>
    <col min="52" max="52" width="2.5703125" style="18" bestFit="1" customWidth="1"/>
    <col min="53" max="53" width="2.140625" style="18" bestFit="1" customWidth="1"/>
    <col min="54" max="54" width="2.85546875" style="18" bestFit="1" customWidth="1"/>
    <col min="55" max="58" width="2.140625" style="18" bestFit="1" customWidth="1"/>
    <col min="59" max="65" width="3.140625" style="18" bestFit="1" customWidth="1"/>
    <col min="66" max="16384" width="8.85546875" style="18"/>
  </cols>
  <sheetData>
    <row r="1" spans="1:65" ht="8.1" customHeight="1" x14ac:dyDescent="0.4">
      <c r="C1" s="90"/>
      <c r="D1" s="74"/>
      <c r="E1" s="75"/>
      <c r="F1" s="76"/>
      <c r="G1" s="77"/>
      <c r="I1" s="76"/>
      <c r="J1" s="78"/>
      <c r="K1" s="79"/>
      <c r="L1" s="79"/>
      <c r="M1" s="79"/>
      <c r="N1" s="79"/>
      <c r="O1" s="79"/>
      <c r="P1" s="79"/>
      <c r="Q1" s="79"/>
      <c r="R1" s="79"/>
      <c r="S1" s="79"/>
      <c r="T1" s="79"/>
      <c r="U1" s="79"/>
      <c r="V1" s="79"/>
      <c r="W1" s="79"/>
      <c r="X1" s="79"/>
      <c r="Y1" s="79"/>
      <c r="Z1" s="79"/>
      <c r="AA1" s="79"/>
      <c r="AB1" s="79"/>
      <c r="AC1" s="79"/>
      <c r="AD1" s="79"/>
      <c r="AE1" s="79"/>
      <c r="AF1" s="79"/>
    </row>
    <row r="2" spans="1:65" ht="2.4500000000000002" customHeight="1" x14ac:dyDescent="0.25">
      <c r="B2" s="88" t="s">
        <v>125</v>
      </c>
      <c r="C2" s="80"/>
      <c r="J2" s="81"/>
      <c r="K2" s="79"/>
      <c r="L2" s="79"/>
      <c r="M2" s="79"/>
      <c r="N2" s="79"/>
      <c r="O2" s="79"/>
      <c r="P2" s="79"/>
      <c r="Q2" s="79"/>
      <c r="R2" s="79"/>
      <c r="S2" s="79"/>
      <c r="T2" s="79"/>
      <c r="U2" s="79"/>
      <c r="V2" s="79"/>
      <c r="W2" s="79"/>
      <c r="X2" s="79"/>
      <c r="Y2" s="79"/>
      <c r="Z2" s="79"/>
      <c r="AA2" s="79"/>
      <c r="AB2" s="79"/>
      <c r="AC2" s="79"/>
      <c r="AD2" s="79"/>
      <c r="AE2" s="79"/>
      <c r="AF2" s="79"/>
    </row>
    <row r="3" spans="1:65" ht="22.5" customHeight="1" x14ac:dyDescent="0.4">
      <c r="B3" s="71"/>
      <c r="C3" s="483" t="str">
        <f>Information!D2</f>
        <v>New expenditure and commissions system.</v>
      </c>
      <c r="D3" s="487" t="s">
        <v>124</v>
      </c>
      <c r="E3" s="488"/>
      <c r="F3" s="489">
        <f>ProjectPlan!E1</f>
        <v>45663</v>
      </c>
      <c r="G3" s="489"/>
      <c r="I3" s="137" t="s">
        <v>305</v>
      </c>
      <c r="J3" s="137"/>
      <c r="K3" s="23"/>
      <c r="L3" s="494">
        <f>ProjectPlan!K1</f>
        <v>45785</v>
      </c>
      <c r="M3" s="494"/>
      <c r="N3" s="494"/>
      <c r="O3" s="494"/>
      <c r="P3" s="494"/>
      <c r="Q3" s="495"/>
    </row>
    <row r="4" spans="1:65" ht="17.45" customHeight="1" x14ac:dyDescent="0.25">
      <c r="B4" s="89" t="s">
        <v>123</v>
      </c>
      <c r="C4" s="483"/>
      <c r="D4" s="487" t="s">
        <v>122</v>
      </c>
      <c r="E4" s="488"/>
      <c r="F4" s="271">
        <v>4</v>
      </c>
      <c r="G4" s="82">
        <f>F4</f>
        <v>4</v>
      </c>
      <c r="J4" s="490">
        <f>J5</f>
        <v>45684</v>
      </c>
      <c r="K4" s="491"/>
      <c r="L4" s="491"/>
      <c r="M4" s="491"/>
      <c r="N4" s="491"/>
      <c r="O4" s="491"/>
      <c r="P4" s="492"/>
      <c r="Q4" s="493">
        <f>Q5</f>
        <v>45691</v>
      </c>
      <c r="R4" s="485"/>
      <c r="S4" s="485"/>
      <c r="T4" s="485"/>
      <c r="U4" s="485"/>
      <c r="V4" s="485"/>
      <c r="W4" s="486"/>
      <c r="X4" s="484">
        <f>X5</f>
        <v>45698</v>
      </c>
      <c r="Y4" s="485"/>
      <c r="Z4" s="485"/>
      <c r="AA4" s="485"/>
      <c r="AB4" s="485"/>
      <c r="AC4" s="485"/>
      <c r="AD4" s="486"/>
      <c r="AE4" s="484">
        <f>AE5</f>
        <v>45705</v>
      </c>
      <c r="AF4" s="485"/>
      <c r="AG4" s="485"/>
      <c r="AH4" s="485"/>
      <c r="AI4" s="485"/>
      <c r="AJ4" s="485"/>
      <c r="AK4" s="486"/>
      <c r="AL4" s="484">
        <f>AL5</f>
        <v>45712</v>
      </c>
      <c r="AM4" s="485"/>
      <c r="AN4" s="485"/>
      <c r="AO4" s="485"/>
      <c r="AP4" s="485"/>
      <c r="AQ4" s="485"/>
      <c r="AR4" s="486"/>
      <c r="AS4" s="484">
        <f>AS5</f>
        <v>45719</v>
      </c>
      <c r="AT4" s="485"/>
      <c r="AU4" s="485"/>
      <c r="AV4" s="485"/>
      <c r="AW4" s="485"/>
      <c r="AX4" s="485"/>
      <c r="AY4" s="486"/>
      <c r="AZ4" s="484">
        <f>AZ5</f>
        <v>45726</v>
      </c>
      <c r="BA4" s="485"/>
      <c r="BB4" s="485"/>
      <c r="BC4" s="485"/>
      <c r="BD4" s="485"/>
      <c r="BE4" s="485"/>
      <c r="BF4" s="486"/>
      <c r="BG4" s="484">
        <f>BG5</f>
        <v>45733</v>
      </c>
      <c r="BH4" s="485"/>
      <c r="BI4" s="485"/>
      <c r="BJ4" s="485"/>
      <c r="BK4" s="485"/>
      <c r="BL4" s="485"/>
      <c r="BM4" s="486"/>
    </row>
    <row r="5" spans="1:65" ht="17.45" customHeight="1" x14ac:dyDescent="0.25">
      <c r="B5" s="89" t="s">
        <v>121</v>
      </c>
      <c r="F5" s="18"/>
      <c r="J5" s="83">
        <f>Project_Start-WEEKDAY(Project_Start,1)+2+7*(G4-1)</f>
        <v>45684</v>
      </c>
      <c r="K5" s="84">
        <f t="shared" ref="K5:AP5" si="0">J5+1</f>
        <v>45685</v>
      </c>
      <c r="L5" s="84">
        <f t="shared" si="0"/>
        <v>45686</v>
      </c>
      <c r="M5" s="84">
        <f t="shared" si="0"/>
        <v>45687</v>
      </c>
      <c r="N5" s="84">
        <f t="shared" si="0"/>
        <v>45688</v>
      </c>
      <c r="O5" s="84">
        <f t="shared" si="0"/>
        <v>45689</v>
      </c>
      <c r="P5" s="85">
        <f t="shared" si="0"/>
        <v>45690</v>
      </c>
      <c r="Q5" s="83">
        <f t="shared" si="0"/>
        <v>45691</v>
      </c>
      <c r="R5" s="84">
        <f t="shared" si="0"/>
        <v>45692</v>
      </c>
      <c r="S5" s="84">
        <f t="shared" si="0"/>
        <v>45693</v>
      </c>
      <c r="T5" s="84">
        <f t="shared" si="0"/>
        <v>45694</v>
      </c>
      <c r="U5" s="84">
        <f t="shared" si="0"/>
        <v>45695</v>
      </c>
      <c r="V5" s="84">
        <f t="shared" si="0"/>
        <v>45696</v>
      </c>
      <c r="W5" s="85">
        <f t="shared" si="0"/>
        <v>45697</v>
      </c>
      <c r="X5" s="83">
        <f t="shared" si="0"/>
        <v>45698</v>
      </c>
      <c r="Y5" s="84">
        <f t="shared" si="0"/>
        <v>45699</v>
      </c>
      <c r="Z5" s="84">
        <f t="shared" si="0"/>
        <v>45700</v>
      </c>
      <c r="AA5" s="84">
        <f t="shared" si="0"/>
        <v>45701</v>
      </c>
      <c r="AB5" s="84">
        <f t="shared" si="0"/>
        <v>45702</v>
      </c>
      <c r="AC5" s="84">
        <f t="shared" si="0"/>
        <v>45703</v>
      </c>
      <c r="AD5" s="85">
        <f t="shared" si="0"/>
        <v>45704</v>
      </c>
      <c r="AE5" s="83">
        <f t="shared" si="0"/>
        <v>45705</v>
      </c>
      <c r="AF5" s="84">
        <f t="shared" si="0"/>
        <v>45706</v>
      </c>
      <c r="AG5" s="84">
        <f t="shared" si="0"/>
        <v>45707</v>
      </c>
      <c r="AH5" s="84">
        <f t="shared" si="0"/>
        <v>45708</v>
      </c>
      <c r="AI5" s="84">
        <f t="shared" si="0"/>
        <v>45709</v>
      </c>
      <c r="AJ5" s="84">
        <f t="shared" si="0"/>
        <v>45710</v>
      </c>
      <c r="AK5" s="85">
        <f t="shared" si="0"/>
        <v>45711</v>
      </c>
      <c r="AL5" s="83">
        <f t="shared" si="0"/>
        <v>45712</v>
      </c>
      <c r="AM5" s="84">
        <f t="shared" si="0"/>
        <v>45713</v>
      </c>
      <c r="AN5" s="84">
        <f t="shared" si="0"/>
        <v>45714</v>
      </c>
      <c r="AO5" s="84">
        <f t="shared" si="0"/>
        <v>45715</v>
      </c>
      <c r="AP5" s="84">
        <f t="shared" si="0"/>
        <v>45716</v>
      </c>
      <c r="AQ5" s="84">
        <f t="shared" ref="AQ5:BM5" si="1">AP5+1</f>
        <v>45717</v>
      </c>
      <c r="AR5" s="85">
        <f t="shared" si="1"/>
        <v>45718</v>
      </c>
      <c r="AS5" s="83">
        <f t="shared" si="1"/>
        <v>45719</v>
      </c>
      <c r="AT5" s="84">
        <f t="shared" si="1"/>
        <v>45720</v>
      </c>
      <c r="AU5" s="84">
        <f t="shared" si="1"/>
        <v>45721</v>
      </c>
      <c r="AV5" s="84">
        <f t="shared" si="1"/>
        <v>45722</v>
      </c>
      <c r="AW5" s="84">
        <f t="shared" si="1"/>
        <v>45723</v>
      </c>
      <c r="AX5" s="84">
        <f t="shared" si="1"/>
        <v>45724</v>
      </c>
      <c r="AY5" s="85">
        <f t="shared" si="1"/>
        <v>45725</v>
      </c>
      <c r="AZ5" s="83">
        <f t="shared" si="1"/>
        <v>45726</v>
      </c>
      <c r="BA5" s="84">
        <f t="shared" si="1"/>
        <v>45727</v>
      </c>
      <c r="BB5" s="84">
        <f t="shared" si="1"/>
        <v>45728</v>
      </c>
      <c r="BC5" s="84">
        <f t="shared" si="1"/>
        <v>45729</v>
      </c>
      <c r="BD5" s="84">
        <f t="shared" si="1"/>
        <v>45730</v>
      </c>
      <c r="BE5" s="84">
        <f t="shared" si="1"/>
        <v>45731</v>
      </c>
      <c r="BF5" s="85">
        <f t="shared" si="1"/>
        <v>45732</v>
      </c>
      <c r="BG5" s="83">
        <f t="shared" si="1"/>
        <v>45733</v>
      </c>
      <c r="BH5" s="84">
        <f t="shared" si="1"/>
        <v>45734</v>
      </c>
      <c r="BI5" s="84">
        <f t="shared" si="1"/>
        <v>45735</v>
      </c>
      <c r="BJ5" s="84">
        <f t="shared" si="1"/>
        <v>45736</v>
      </c>
      <c r="BK5" s="84">
        <f t="shared" si="1"/>
        <v>45737</v>
      </c>
      <c r="BL5" s="84">
        <f t="shared" si="1"/>
        <v>45738</v>
      </c>
      <c r="BM5" s="85">
        <f t="shared" si="1"/>
        <v>45739</v>
      </c>
    </row>
    <row r="6" spans="1:65" ht="29.1" customHeight="1" thickBot="1" x14ac:dyDescent="0.3">
      <c r="B6" s="337" t="s">
        <v>128</v>
      </c>
      <c r="C6" s="338" t="s">
        <v>120</v>
      </c>
      <c r="D6" s="339" t="s">
        <v>119</v>
      </c>
      <c r="E6" s="339" t="s">
        <v>118</v>
      </c>
      <c r="F6" s="339" t="s">
        <v>117</v>
      </c>
      <c r="G6" s="339" t="s">
        <v>116</v>
      </c>
      <c r="H6" s="339" t="s">
        <v>155</v>
      </c>
      <c r="I6" s="339" t="s">
        <v>400</v>
      </c>
      <c r="J6" s="86" t="str">
        <f t="shared" ref="J6:AO6" si="2">LEFT(TEXT(J5,"ddd"),1)</f>
        <v>M</v>
      </c>
      <c r="K6" s="86" t="str">
        <f t="shared" si="2"/>
        <v>T</v>
      </c>
      <c r="L6" s="86" t="str">
        <f t="shared" si="2"/>
        <v>W</v>
      </c>
      <c r="M6" s="86" t="str">
        <f t="shared" si="2"/>
        <v>T</v>
      </c>
      <c r="N6" s="86" t="str">
        <f t="shared" si="2"/>
        <v>F</v>
      </c>
      <c r="O6" s="86" t="str">
        <f t="shared" si="2"/>
        <v>S</v>
      </c>
      <c r="P6" s="86" t="str">
        <f t="shared" si="2"/>
        <v>S</v>
      </c>
      <c r="Q6" s="86" t="str">
        <f t="shared" si="2"/>
        <v>M</v>
      </c>
      <c r="R6" s="86" t="str">
        <f t="shared" si="2"/>
        <v>T</v>
      </c>
      <c r="S6" s="86" t="str">
        <f t="shared" si="2"/>
        <v>W</v>
      </c>
      <c r="T6" s="86" t="str">
        <f t="shared" si="2"/>
        <v>T</v>
      </c>
      <c r="U6" s="86" t="str">
        <f t="shared" si="2"/>
        <v>F</v>
      </c>
      <c r="V6" s="86" t="str">
        <f t="shared" si="2"/>
        <v>S</v>
      </c>
      <c r="W6" s="86" t="str">
        <f t="shared" si="2"/>
        <v>S</v>
      </c>
      <c r="X6" s="86" t="str">
        <f t="shared" si="2"/>
        <v>M</v>
      </c>
      <c r="Y6" s="86" t="str">
        <f t="shared" si="2"/>
        <v>T</v>
      </c>
      <c r="Z6" s="86" t="str">
        <f t="shared" si="2"/>
        <v>W</v>
      </c>
      <c r="AA6" s="86" t="str">
        <f t="shared" si="2"/>
        <v>T</v>
      </c>
      <c r="AB6" s="86" t="str">
        <f t="shared" si="2"/>
        <v>F</v>
      </c>
      <c r="AC6" s="86" t="str">
        <f t="shared" si="2"/>
        <v>S</v>
      </c>
      <c r="AD6" s="86" t="str">
        <f t="shared" si="2"/>
        <v>S</v>
      </c>
      <c r="AE6" s="86" t="str">
        <f t="shared" si="2"/>
        <v>M</v>
      </c>
      <c r="AF6" s="86" t="str">
        <f t="shared" si="2"/>
        <v>T</v>
      </c>
      <c r="AG6" s="86" t="str">
        <f t="shared" si="2"/>
        <v>W</v>
      </c>
      <c r="AH6" s="86" t="str">
        <f t="shared" si="2"/>
        <v>T</v>
      </c>
      <c r="AI6" s="86" t="str">
        <f t="shared" si="2"/>
        <v>F</v>
      </c>
      <c r="AJ6" s="86" t="str">
        <f t="shared" si="2"/>
        <v>S</v>
      </c>
      <c r="AK6" s="86" t="str">
        <f t="shared" si="2"/>
        <v>S</v>
      </c>
      <c r="AL6" s="86" t="str">
        <f t="shared" si="2"/>
        <v>M</v>
      </c>
      <c r="AM6" s="86" t="str">
        <f t="shared" si="2"/>
        <v>T</v>
      </c>
      <c r="AN6" s="86" t="str">
        <f t="shared" si="2"/>
        <v>W</v>
      </c>
      <c r="AO6" s="86" t="str">
        <f t="shared" si="2"/>
        <v>T</v>
      </c>
      <c r="AP6" s="86" t="str">
        <f t="shared" ref="AP6:BM6" si="3">LEFT(TEXT(AP5,"ddd"),1)</f>
        <v>F</v>
      </c>
      <c r="AQ6" s="86" t="str">
        <f t="shared" si="3"/>
        <v>S</v>
      </c>
      <c r="AR6" s="86" t="str">
        <f t="shared" si="3"/>
        <v>S</v>
      </c>
      <c r="AS6" s="86" t="str">
        <f t="shared" si="3"/>
        <v>M</v>
      </c>
      <c r="AT6" s="86" t="str">
        <f t="shared" si="3"/>
        <v>T</v>
      </c>
      <c r="AU6" s="86" t="str">
        <f t="shared" si="3"/>
        <v>W</v>
      </c>
      <c r="AV6" s="86" t="str">
        <f t="shared" si="3"/>
        <v>T</v>
      </c>
      <c r="AW6" s="86" t="str">
        <f t="shared" si="3"/>
        <v>F</v>
      </c>
      <c r="AX6" s="86" t="str">
        <f t="shared" si="3"/>
        <v>S</v>
      </c>
      <c r="AY6" s="86" t="str">
        <f t="shared" si="3"/>
        <v>S</v>
      </c>
      <c r="AZ6" s="86" t="str">
        <f t="shared" si="3"/>
        <v>M</v>
      </c>
      <c r="BA6" s="86" t="str">
        <f t="shared" si="3"/>
        <v>T</v>
      </c>
      <c r="BB6" s="86" t="str">
        <f t="shared" si="3"/>
        <v>W</v>
      </c>
      <c r="BC6" s="86" t="str">
        <f t="shared" si="3"/>
        <v>T</v>
      </c>
      <c r="BD6" s="86" t="str">
        <f t="shared" si="3"/>
        <v>F</v>
      </c>
      <c r="BE6" s="86" t="str">
        <f t="shared" si="3"/>
        <v>S</v>
      </c>
      <c r="BF6" s="86" t="str">
        <f t="shared" si="3"/>
        <v>S</v>
      </c>
      <c r="BG6" s="86" t="str">
        <f t="shared" si="3"/>
        <v>M</v>
      </c>
      <c r="BH6" s="86" t="str">
        <f t="shared" si="3"/>
        <v>T</v>
      </c>
      <c r="BI6" s="86" t="str">
        <f t="shared" si="3"/>
        <v>W</v>
      </c>
      <c r="BJ6" s="86" t="str">
        <f t="shared" si="3"/>
        <v>T</v>
      </c>
      <c r="BK6" s="86" t="str">
        <f t="shared" si="3"/>
        <v>F</v>
      </c>
      <c r="BL6" s="86" t="str">
        <f t="shared" si="3"/>
        <v>S</v>
      </c>
      <c r="BM6" s="86" t="str">
        <f t="shared" si="3"/>
        <v>S</v>
      </c>
    </row>
    <row r="7" spans="1:65" ht="4.1500000000000004" customHeight="1" thickBot="1" x14ac:dyDescent="0.3">
      <c r="B7" s="427"/>
      <c r="C7" s="340"/>
      <c r="D7" s="428"/>
      <c r="E7" s="340"/>
      <c r="F7" s="340"/>
      <c r="G7" s="340"/>
      <c r="H7" s="340"/>
      <c r="I7" s="341" t="str">
        <f>IF(OR(ISBLANK(task_start),ISBLANK(task_end)),"",task_end-task_start+1)</f>
        <v/>
      </c>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row>
    <row r="8" spans="1:65" s="233" customFormat="1" ht="16.5" thickBot="1" x14ac:dyDescent="0.3">
      <c r="A8" s="87"/>
      <c r="B8" s="342" t="s">
        <v>129</v>
      </c>
      <c r="C8" s="343" t="str">
        <f>IF(ProjectPlan!C3&lt;&gt;"",ProjectPlan!C3,"")</f>
        <v>Gathering Requirements</v>
      </c>
      <c r="D8" s="344"/>
      <c r="E8" s="345"/>
      <c r="F8" s="346"/>
      <c r="G8" s="347"/>
      <c r="H8" s="348"/>
      <c r="I8" s="348" t="str">
        <f>IF(OR(ISBLANK(task_start),ISBLANK(task_end)),"",task_end-task_start+1)</f>
        <v/>
      </c>
      <c r="J8" s="232"/>
      <c r="K8" s="232"/>
      <c r="L8" s="232"/>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232"/>
      <c r="AL8" s="232"/>
      <c r="AM8" s="232"/>
      <c r="AN8" s="232"/>
      <c r="AO8" s="232"/>
      <c r="AP8" s="232"/>
      <c r="AQ8" s="232"/>
      <c r="AR8" s="232"/>
      <c r="AS8" s="232"/>
      <c r="AT8" s="232"/>
      <c r="AU8" s="232"/>
      <c r="AV8" s="232"/>
      <c r="AW8" s="232"/>
      <c r="AX8" s="232"/>
      <c r="AY8" s="232"/>
      <c r="AZ8" s="232"/>
      <c r="BA8" s="232"/>
      <c r="BB8" s="232"/>
      <c r="BC8" s="232"/>
      <c r="BD8" s="232"/>
      <c r="BE8" s="232"/>
      <c r="BF8" s="232"/>
      <c r="BG8" s="232"/>
      <c r="BH8" s="232"/>
      <c r="BI8" s="232"/>
      <c r="BJ8" s="232"/>
      <c r="BK8" s="232"/>
      <c r="BL8" s="232"/>
      <c r="BM8" s="232"/>
    </row>
    <row r="9" spans="1:65" s="233" customFormat="1" ht="16.5" thickBot="1" x14ac:dyDescent="0.3">
      <c r="A9" s="87"/>
      <c r="B9" s="349" t="str">
        <f>IF(E9="N/A", "",ProjectPlan!B4)</f>
        <v>1.1.1</v>
      </c>
      <c r="C9" s="350" t="str">
        <f>IF($E9="N/A", "",ProjectPlan!C4)</f>
        <v>Analyse and Document Competitor Platforms</v>
      </c>
      <c r="D9" s="344" t="str">
        <f>IF(E9="N/A", "",_xlfn.XLOOKUP(tbl_prj_schedu[[#This Row],[REF]],tbl_AssignRole[Ref],tbl_AssignRole[AssigRole]))</f>
        <v>Clara Bennett-PROD</v>
      </c>
      <c r="E9" s="345">
        <f>ProjectPlan!I4</f>
        <v>1</v>
      </c>
      <c r="F9" s="351">
        <f>IF($E9="N/A", "",ProjectPlan!E4)</f>
        <v>45663</v>
      </c>
      <c r="G9" s="351">
        <f>IF($E9="N/A", "",ProjectPlan!F4)</f>
        <v>45667</v>
      </c>
      <c r="H9" s="352">
        <f>IF($E9="N/A", "",INT((F9-Project_Start)/7) + 1)</f>
        <v>1</v>
      </c>
      <c r="I9" s="348">
        <f t="shared" ref="I9:I40" si="4">IF(OR(ISBLANK(task_start), ISBLANK(task_end)), "", IF(E9="N/A", 0, task_end-task_start+1))</f>
        <v>5</v>
      </c>
      <c r="J9" s="232"/>
      <c r="K9" s="232"/>
      <c r="L9" s="232"/>
      <c r="M9" s="232"/>
      <c r="N9" s="232"/>
      <c r="O9" s="232"/>
      <c r="P9" s="232"/>
      <c r="Q9" s="232"/>
      <c r="R9" s="232"/>
      <c r="S9" s="232"/>
      <c r="T9" s="232"/>
      <c r="U9" s="232"/>
      <c r="V9" s="232"/>
      <c r="W9" s="232"/>
      <c r="X9" s="232"/>
      <c r="Y9" s="232"/>
      <c r="Z9" s="232"/>
      <c r="AA9" s="232"/>
      <c r="AB9" s="232"/>
      <c r="AC9" s="232"/>
      <c r="AD9" s="232"/>
      <c r="AE9" s="232"/>
      <c r="AF9" s="232"/>
      <c r="AG9" s="232"/>
      <c r="AH9" s="232"/>
      <c r="AI9" s="232"/>
      <c r="AJ9" s="232"/>
      <c r="AK9" s="232"/>
      <c r="AL9" s="232"/>
      <c r="AM9" s="232"/>
      <c r="AN9" s="232"/>
      <c r="AO9" s="232"/>
      <c r="AP9" s="232"/>
      <c r="AQ9" s="232"/>
      <c r="AR9" s="232"/>
      <c r="AS9" s="232"/>
      <c r="AT9" s="232"/>
      <c r="AU9" s="232"/>
      <c r="AV9" s="232"/>
      <c r="AW9" s="232"/>
      <c r="AX9" s="232"/>
      <c r="AY9" s="232"/>
      <c r="AZ9" s="232"/>
      <c r="BA9" s="232"/>
      <c r="BB9" s="232"/>
      <c r="BC9" s="232"/>
      <c r="BD9" s="232"/>
      <c r="BE9" s="232"/>
      <c r="BF9" s="232"/>
      <c r="BG9" s="232"/>
      <c r="BH9" s="232"/>
      <c r="BI9" s="232"/>
      <c r="BJ9" s="232"/>
      <c r="BK9" s="232"/>
      <c r="BL9" s="232"/>
      <c r="BM9" s="232"/>
    </row>
    <row r="10" spans="1:65" s="233" customFormat="1" ht="16.5" thickBot="1" x14ac:dyDescent="0.3">
      <c r="A10" s="87"/>
      <c r="B10" s="349" t="str">
        <f>IF(E10="N/A", "",ProjectPlan!B5)</f>
        <v>1.1.2</v>
      </c>
      <c r="C10" s="350" t="str">
        <f>IF(E10="N/A", "",ProjectPlan!C5)</f>
        <v>Gather Requirements and Define User Stories</v>
      </c>
      <c r="D10" s="344" t="str">
        <f>IF(E10="N/A", "",_xlfn.XLOOKUP(tbl_prj_schedu[[#This Row],[REF]],tbl_AssignRole[Ref],tbl_AssignRole[AssigRole]))</f>
        <v>James Whitmore-BANA</v>
      </c>
      <c r="E10" s="345">
        <f>ProjectPlan!I5</f>
        <v>1</v>
      </c>
      <c r="F10" s="351">
        <f>IF($E10="N/A", "",ProjectPlan!E5)</f>
        <v>45670</v>
      </c>
      <c r="G10" s="351">
        <f>IF($E10="N/A", "",ProjectPlan!F5)</f>
        <v>45674</v>
      </c>
      <c r="H10" s="352">
        <f>IF($E10="N/A", "",INT((F10-Project_Start)/7) + 1)</f>
        <v>2</v>
      </c>
      <c r="I10" s="348">
        <f t="shared" si="4"/>
        <v>5</v>
      </c>
      <c r="J10" s="232"/>
      <c r="K10" s="232"/>
      <c r="L10" s="232"/>
      <c r="M10" s="232"/>
      <c r="N10" s="232"/>
      <c r="O10" s="232"/>
      <c r="P10" s="232"/>
      <c r="Q10" s="232"/>
      <c r="R10" s="232"/>
      <c r="S10" s="232"/>
      <c r="T10" s="232"/>
      <c r="U10" s="232"/>
      <c r="V10" s="234"/>
      <c r="W10" s="234"/>
      <c r="X10" s="232"/>
      <c r="Y10" s="232"/>
      <c r="Z10" s="232"/>
      <c r="AA10" s="232"/>
      <c r="AB10" s="232"/>
      <c r="AC10" s="232"/>
      <c r="AD10" s="232"/>
      <c r="AE10" s="232"/>
      <c r="AF10" s="232"/>
      <c r="AG10" s="232"/>
      <c r="AH10" s="232"/>
      <c r="AI10" s="232"/>
      <c r="AJ10" s="232"/>
      <c r="AK10" s="232"/>
      <c r="AL10" s="232"/>
      <c r="AM10" s="232"/>
      <c r="AN10" s="232"/>
      <c r="AO10" s="232"/>
      <c r="AP10" s="232"/>
      <c r="AQ10" s="232"/>
      <c r="AR10" s="232"/>
      <c r="AS10" s="232"/>
      <c r="AT10" s="232"/>
      <c r="AU10" s="232"/>
      <c r="AV10" s="232"/>
      <c r="AW10" s="232"/>
      <c r="AX10" s="232"/>
      <c r="AY10" s="232"/>
      <c r="AZ10" s="232"/>
      <c r="BA10" s="232"/>
      <c r="BB10" s="232"/>
      <c r="BC10" s="232"/>
      <c r="BD10" s="232"/>
      <c r="BE10" s="232"/>
      <c r="BF10" s="232"/>
      <c r="BG10" s="232"/>
      <c r="BH10" s="232"/>
      <c r="BI10" s="232"/>
      <c r="BJ10" s="232"/>
      <c r="BK10" s="232"/>
      <c r="BL10" s="232"/>
      <c r="BM10" s="232"/>
    </row>
    <row r="11" spans="1:65" s="233" customFormat="1" ht="16.5" thickBot="1" x14ac:dyDescent="0.3">
      <c r="A11" s="87"/>
      <c r="B11" s="349" t="str">
        <f>IF(E11="N/A", "",ProjectPlan!B6)</f>
        <v>1.1.3</v>
      </c>
      <c r="C11" s="350" t="str">
        <f>IF(E11="N/A", "",ProjectPlan!C6)</f>
        <v>Plan of Action: Summarise Findings, High Level Objectives and Goals</v>
      </c>
      <c r="D11" s="344" t="str">
        <f>IF(E11="N/A", "",_xlfn.XLOOKUP(tbl_prj_schedu[[#This Row],[REF]],tbl_AssignRole[Ref],tbl_AssignRole[AssigRole]))</f>
        <v>James Whitmore-BANA</v>
      </c>
      <c r="E11" s="345">
        <f>ProjectPlan!I6</f>
        <v>1</v>
      </c>
      <c r="F11" s="351">
        <f>IF($E11="N/A", "",ProjectPlan!E6)</f>
        <v>45677</v>
      </c>
      <c r="G11" s="351">
        <f>IF($E11="N/A", "",ProjectPlan!F6)</f>
        <v>45681</v>
      </c>
      <c r="H11" s="352">
        <f>IF($E11="N/A", "",INT((F11-Project_Start)/7) + 1)</f>
        <v>3</v>
      </c>
      <c r="I11" s="348">
        <f t="shared" si="4"/>
        <v>5</v>
      </c>
      <c r="J11" s="232"/>
      <c r="K11" s="232"/>
      <c r="L11" s="232"/>
      <c r="M11" s="232"/>
      <c r="N11" s="232"/>
      <c r="O11" s="232"/>
      <c r="P11" s="232"/>
      <c r="Q11" s="232"/>
      <c r="R11" s="232"/>
      <c r="S11" s="232"/>
      <c r="T11" s="232"/>
      <c r="U11" s="232"/>
      <c r="V11" s="232"/>
      <c r="W11" s="232"/>
      <c r="X11" s="232"/>
      <c r="Y11" s="232"/>
      <c r="Z11" s="232"/>
      <c r="AA11" s="232"/>
      <c r="AB11" s="232"/>
      <c r="AC11" s="232"/>
      <c r="AD11" s="232"/>
      <c r="AE11" s="232"/>
      <c r="AF11" s="232"/>
      <c r="AG11" s="232"/>
      <c r="AH11" s="232"/>
      <c r="AI11" s="232"/>
      <c r="AJ11" s="232"/>
      <c r="AK11" s="232"/>
      <c r="AL11" s="232"/>
      <c r="AM11" s="232"/>
      <c r="AN11" s="232"/>
      <c r="AO11" s="232"/>
      <c r="AP11" s="232"/>
      <c r="AQ11" s="232"/>
      <c r="AR11" s="232"/>
      <c r="AS11" s="232"/>
      <c r="AT11" s="232"/>
      <c r="AU11" s="232"/>
      <c r="AV11" s="232"/>
      <c r="AW11" s="232"/>
      <c r="AX11" s="232"/>
      <c r="AY11" s="232"/>
      <c r="AZ11" s="232"/>
      <c r="BA11" s="232"/>
      <c r="BB11" s="232"/>
      <c r="BC11" s="232"/>
      <c r="BD11" s="232"/>
      <c r="BE11" s="232"/>
      <c r="BF11" s="232"/>
      <c r="BG11" s="232"/>
      <c r="BH11" s="232"/>
      <c r="BI11" s="232"/>
      <c r="BJ11" s="232"/>
      <c r="BK11" s="232"/>
      <c r="BL11" s="232"/>
      <c r="BM11" s="232"/>
    </row>
    <row r="12" spans="1:65" s="233" customFormat="1" ht="16.5" thickBot="1" x14ac:dyDescent="0.3">
      <c r="A12" s="87"/>
      <c r="B12" s="349" t="str">
        <f>IF(E12="N/A", "",ProjectPlan!B7)</f>
        <v>1.1.4</v>
      </c>
      <c r="C12" s="350" t="str">
        <f>IF(E12="N/A", "",ProjectPlan!C7)</f>
        <v>Agree Stakeholder Expectations after Initial Review</v>
      </c>
      <c r="D12" s="344" t="str">
        <f>IF(E12="N/A", "",_xlfn.XLOOKUP(tbl_prj_schedu[[#This Row],[REF]],tbl_AssignRole[Ref],tbl_AssignRole[AssigRole]))</f>
        <v>Clara Bennett-PROD</v>
      </c>
      <c r="E12" s="345">
        <f>ProjectPlan!I7</f>
        <v>0.95</v>
      </c>
      <c r="F12" s="351">
        <f>IF($E12="N/A", "",ProjectPlan!E7)</f>
        <v>45677</v>
      </c>
      <c r="G12" s="351">
        <f>IF($E12="N/A", "",ProjectPlan!F7)</f>
        <v>45681</v>
      </c>
      <c r="H12" s="352">
        <f>IF($E12="N/A", "",INT((F12-Project_Start)/7) + 1)</f>
        <v>3</v>
      </c>
      <c r="I12" s="348">
        <f t="shared" si="4"/>
        <v>5</v>
      </c>
      <c r="J12" s="232"/>
      <c r="K12" s="232"/>
      <c r="L12" s="232"/>
      <c r="M12" s="232"/>
      <c r="N12" s="232"/>
      <c r="O12" s="232"/>
      <c r="P12" s="232"/>
      <c r="Q12" s="232"/>
      <c r="R12" s="232"/>
      <c r="S12" s="232"/>
      <c r="T12" s="232"/>
      <c r="U12" s="232"/>
      <c r="V12" s="232"/>
      <c r="W12" s="232"/>
      <c r="X12" s="232"/>
      <c r="Y12" s="232"/>
      <c r="Z12" s="234"/>
      <c r="AA12" s="232"/>
      <c r="AB12" s="232"/>
      <c r="AC12" s="232"/>
      <c r="AD12" s="232"/>
      <c r="AE12" s="232"/>
      <c r="AF12" s="232"/>
      <c r="AG12" s="232"/>
      <c r="AH12" s="232"/>
      <c r="AI12" s="232"/>
      <c r="AJ12" s="232"/>
      <c r="AK12" s="232"/>
      <c r="AL12" s="232"/>
      <c r="AM12" s="232"/>
      <c r="AN12" s="232"/>
      <c r="AO12" s="232"/>
      <c r="AP12" s="232"/>
      <c r="AQ12" s="232"/>
      <c r="AR12" s="232"/>
      <c r="AS12" s="232"/>
      <c r="AT12" s="232"/>
      <c r="AU12" s="232"/>
      <c r="AV12" s="232"/>
      <c r="AW12" s="232"/>
      <c r="AX12" s="232"/>
      <c r="AY12" s="232"/>
      <c r="AZ12" s="232"/>
      <c r="BA12" s="232"/>
      <c r="BB12" s="232"/>
      <c r="BC12" s="232"/>
      <c r="BD12" s="232"/>
      <c r="BE12" s="232"/>
      <c r="BF12" s="232"/>
      <c r="BG12" s="232"/>
      <c r="BH12" s="232"/>
      <c r="BI12" s="232"/>
      <c r="BJ12" s="232"/>
      <c r="BK12" s="232"/>
      <c r="BL12" s="232"/>
      <c r="BM12" s="232"/>
    </row>
    <row r="13" spans="1:65" s="233" customFormat="1" ht="16.5" thickBot="1" x14ac:dyDescent="0.3">
      <c r="A13" s="87"/>
      <c r="B13" s="349" t="str">
        <f>IF(E13="N/A", "",ProjectPlan!B8)</f>
        <v>1.1.5</v>
      </c>
      <c r="C13" s="350" t="str">
        <f>IF(E13="N/A", "",ProjectPlan!C8)</f>
        <v>Define Objectives and Key Performance Indicators (KPIs,etc.)</v>
      </c>
      <c r="D13" s="344" t="str">
        <f>IF(E13="N/A", "",_xlfn.XLOOKUP(tbl_prj_schedu[[#This Row],[REF]],tbl_AssignRole[Ref],tbl_AssignRole[AssigRole]))</f>
        <v>Liam O'Connor-BANA</v>
      </c>
      <c r="E13" s="345">
        <f>ProjectPlan!I8</f>
        <v>0.95</v>
      </c>
      <c r="F13" s="351">
        <f>IF($E13="N/A", "",ProjectPlan!E8)</f>
        <v>45684</v>
      </c>
      <c r="G13" s="351">
        <f>IF($E13="N/A", "",ProjectPlan!F8)</f>
        <v>45687</v>
      </c>
      <c r="H13" s="352">
        <f>IF($E13="N/A", "",INT((F13-Project_Start)/7) + 1)</f>
        <v>4</v>
      </c>
      <c r="I13" s="348">
        <f t="shared" si="4"/>
        <v>4</v>
      </c>
      <c r="J13" s="232"/>
      <c r="K13" s="232"/>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2"/>
      <c r="AO13" s="232"/>
      <c r="AP13" s="232"/>
      <c r="AQ13" s="232"/>
      <c r="AR13" s="232"/>
      <c r="AS13" s="232"/>
      <c r="AT13" s="232"/>
      <c r="AU13" s="232"/>
      <c r="AV13" s="232"/>
      <c r="AW13" s="232"/>
      <c r="AX13" s="232"/>
      <c r="AY13" s="232"/>
      <c r="AZ13" s="232"/>
      <c r="BA13" s="232"/>
      <c r="BB13" s="232"/>
      <c r="BC13" s="232"/>
      <c r="BD13" s="232"/>
      <c r="BE13" s="232"/>
      <c r="BF13" s="232"/>
      <c r="BG13" s="232"/>
      <c r="BH13" s="232"/>
      <c r="BI13" s="232"/>
      <c r="BJ13" s="232"/>
      <c r="BK13" s="232"/>
      <c r="BL13" s="232"/>
      <c r="BM13" s="232"/>
    </row>
    <row r="14" spans="1:65" s="233" customFormat="1" ht="16.5" thickBot="1" x14ac:dyDescent="0.3">
      <c r="A14" s="87"/>
      <c r="B14" s="342" t="s">
        <v>129</v>
      </c>
      <c r="C14" s="343" t="str">
        <f>IF(ProjectPlan!C10&lt;&gt;"",ProjectPlan!C10,"")</f>
        <v>Define Requirements</v>
      </c>
      <c r="D14" s="344"/>
      <c r="E14" s="345"/>
      <c r="F14" s="346"/>
      <c r="G14" s="347"/>
      <c r="H14" s="352"/>
      <c r="I14" s="348" t="str">
        <f t="shared" si="4"/>
        <v/>
      </c>
      <c r="J14" s="232"/>
      <c r="K14" s="232"/>
      <c r="L14" s="232"/>
      <c r="M14" s="232"/>
      <c r="N14" s="232"/>
      <c r="O14" s="232"/>
      <c r="P14" s="232"/>
      <c r="Q14" s="232"/>
      <c r="R14" s="232"/>
      <c r="S14" s="232"/>
      <c r="T14" s="232"/>
      <c r="U14" s="232"/>
      <c r="V14" s="232"/>
      <c r="W14" s="232"/>
      <c r="X14" s="232"/>
      <c r="Y14" s="232"/>
      <c r="Z14" s="232"/>
      <c r="AA14" s="232"/>
      <c r="AB14" s="232"/>
      <c r="AC14" s="232"/>
      <c r="AD14" s="232"/>
      <c r="AE14" s="232"/>
      <c r="AF14" s="232"/>
      <c r="AG14" s="232"/>
      <c r="AH14" s="232"/>
      <c r="AI14" s="232"/>
      <c r="AJ14" s="232"/>
      <c r="AK14" s="232"/>
      <c r="AL14" s="232"/>
      <c r="AM14" s="232"/>
      <c r="AN14" s="232"/>
      <c r="AO14" s="232"/>
      <c r="AP14" s="232"/>
      <c r="AQ14" s="232"/>
      <c r="AR14" s="232"/>
      <c r="AS14" s="232"/>
      <c r="AT14" s="232"/>
      <c r="AU14" s="232"/>
      <c r="AV14" s="232"/>
      <c r="AW14" s="232"/>
      <c r="AX14" s="232"/>
      <c r="AY14" s="232"/>
      <c r="AZ14" s="232"/>
      <c r="BA14" s="232"/>
      <c r="BB14" s="232"/>
      <c r="BC14" s="232"/>
      <c r="BD14" s="232"/>
      <c r="BE14" s="232"/>
      <c r="BF14" s="232"/>
      <c r="BG14" s="232"/>
      <c r="BH14" s="232"/>
      <c r="BI14" s="232"/>
      <c r="BJ14" s="232"/>
      <c r="BK14" s="232"/>
      <c r="BL14" s="232"/>
      <c r="BM14" s="232"/>
    </row>
    <row r="15" spans="1:65" s="233" customFormat="1" ht="16.5" thickBot="1" x14ac:dyDescent="0.3">
      <c r="A15" s="87"/>
      <c r="B15" s="349" t="str">
        <f>IF($E15="N/A", "",ProjectPlan!B11)</f>
        <v>1.2.1</v>
      </c>
      <c r="C15" s="350" t="str">
        <f>IF($E15="N/A", "",ProjectPlan!C11)</f>
        <v>Identify New Functionality and Enhancements</v>
      </c>
      <c r="D15" s="344" t="str">
        <f>IF(E15="N/A", "",_xlfn.XLOOKUP(tbl_prj_schedu[[#This Row],[REF]],tbl_AssignRole[Ref],tbl_AssignRole[AssigRole]))</f>
        <v>James Whitmore-BANA</v>
      </c>
      <c r="E15" s="345">
        <f>ProjectPlan!I11</f>
        <v>0.95</v>
      </c>
      <c r="F15" s="353">
        <f>IF(E15="N/A","",ProjectPlan!E11)</f>
        <v>45688</v>
      </c>
      <c r="G15" s="353">
        <f>IF(E15="N/A","",ProjectPlan!F11)</f>
        <v>45699</v>
      </c>
      <c r="H15" s="352">
        <f>IF($E15="N/A", "",INT((F15-Project_Start)/7) + 1)</f>
        <v>4</v>
      </c>
      <c r="I15" s="348">
        <f t="shared" si="4"/>
        <v>12</v>
      </c>
      <c r="J15" s="232"/>
      <c r="K15" s="232"/>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2"/>
      <c r="AO15" s="232"/>
      <c r="AP15" s="232"/>
      <c r="AQ15" s="232"/>
      <c r="AR15" s="232"/>
      <c r="AS15" s="232"/>
      <c r="AT15" s="232"/>
      <c r="AU15" s="232"/>
      <c r="AV15" s="232"/>
      <c r="AW15" s="232"/>
      <c r="AX15" s="232"/>
      <c r="AY15" s="232"/>
      <c r="AZ15" s="232"/>
      <c r="BA15" s="232"/>
      <c r="BB15" s="232"/>
      <c r="BC15" s="232"/>
      <c r="BD15" s="232"/>
      <c r="BE15" s="232"/>
      <c r="BF15" s="232"/>
      <c r="BG15" s="232"/>
      <c r="BH15" s="232"/>
      <c r="BI15" s="232"/>
      <c r="BJ15" s="232"/>
      <c r="BK15" s="232"/>
      <c r="BL15" s="232"/>
      <c r="BM15" s="232"/>
    </row>
    <row r="16" spans="1:65" s="233" customFormat="1" ht="16.5" thickBot="1" x14ac:dyDescent="0.3">
      <c r="A16" s="87"/>
      <c r="B16" s="349" t="str">
        <f>IF($E16="N/A", "",ProjectPlan!B12)</f>
        <v>1.2.2</v>
      </c>
      <c r="C16" s="350" t="str">
        <f>IF(E16="N/A", "",ProjectPlan!C12)</f>
        <v>Identify and Document Non-Functional Requirements</v>
      </c>
      <c r="D16" s="344" t="str">
        <f>IF(E16="N/A", "",_xlfn.XLOOKUP(tbl_prj_schedu[[#This Row],[REF]],tbl_AssignRole[Ref],tbl_AssignRole[AssigRole]))</f>
        <v>Adam Kowalski-SERD</v>
      </c>
      <c r="E16" s="345">
        <f>ProjectPlan!I12</f>
        <v>1</v>
      </c>
      <c r="F16" s="353">
        <f>IF(E16="N/A","",ProjectPlan!E12)</f>
        <v>45684</v>
      </c>
      <c r="G16" s="353">
        <f>IF(E16="N/A","",ProjectPlan!F12)</f>
        <v>45707</v>
      </c>
      <c r="H16" s="352">
        <f>IF($E16="N/A", "",INT((F16-Project_Start)/7) + 1)</f>
        <v>4</v>
      </c>
      <c r="I16" s="348">
        <f t="shared" si="4"/>
        <v>24</v>
      </c>
      <c r="J16" s="232"/>
      <c r="K16" s="232"/>
      <c r="L16" s="232"/>
      <c r="M16" s="232"/>
      <c r="N16" s="232"/>
      <c r="O16" s="232"/>
      <c r="P16" s="232"/>
      <c r="Q16" s="232"/>
      <c r="R16" s="232"/>
      <c r="S16" s="232"/>
      <c r="T16" s="232"/>
      <c r="U16" s="232"/>
      <c r="V16" s="234"/>
      <c r="W16" s="234"/>
      <c r="X16" s="232"/>
      <c r="Y16" s="232"/>
      <c r="Z16" s="232"/>
      <c r="AA16" s="232"/>
      <c r="AB16" s="232"/>
      <c r="AC16" s="232"/>
      <c r="AD16" s="232"/>
      <c r="AE16" s="232"/>
      <c r="AF16" s="232"/>
      <c r="AG16" s="232"/>
      <c r="AH16" s="232"/>
      <c r="AI16" s="232"/>
      <c r="AJ16" s="232"/>
      <c r="AK16" s="232"/>
      <c r="AL16" s="232"/>
      <c r="AM16" s="232"/>
      <c r="AN16" s="232"/>
      <c r="AO16" s="232"/>
      <c r="AP16" s="232"/>
      <c r="AQ16" s="232"/>
      <c r="AR16" s="232"/>
      <c r="AS16" s="232"/>
      <c r="AT16" s="232"/>
      <c r="AU16" s="232"/>
      <c r="AV16" s="232"/>
      <c r="AW16" s="232"/>
      <c r="AX16" s="232"/>
      <c r="AY16" s="232"/>
      <c r="AZ16" s="232"/>
      <c r="BA16" s="232"/>
      <c r="BB16" s="232"/>
      <c r="BC16" s="232"/>
      <c r="BD16" s="232"/>
      <c r="BE16" s="232"/>
      <c r="BF16" s="232"/>
      <c r="BG16" s="232"/>
      <c r="BH16" s="232"/>
      <c r="BI16" s="232"/>
      <c r="BJ16" s="232"/>
      <c r="BK16" s="232"/>
      <c r="BL16" s="232"/>
      <c r="BM16" s="232"/>
    </row>
    <row r="17" spans="1:65" s="233" customFormat="1" ht="16.5" thickBot="1" x14ac:dyDescent="0.3">
      <c r="A17" s="87"/>
      <c r="B17" s="349" t="str">
        <f>IF($E17="N/A", "",ProjectPlan!B13)</f>
        <v>1.2.3</v>
      </c>
      <c r="C17" s="350" t="str">
        <f>IF(E17="N/A", "",ProjectPlan!C13)</f>
        <v>User Stories to Functional Mapping and Enhancements</v>
      </c>
      <c r="D17" s="344" t="str">
        <f>IF(E17="N/A", "",_xlfn.XLOOKUP(tbl_prj_schedu[[#This Row],[REF]],tbl_AssignRole[Ref],tbl_AssignRole[AssigRole]))</f>
        <v>Priya Sharma-DBDE</v>
      </c>
      <c r="E17" s="345">
        <f>ProjectPlan!I13</f>
        <v>0.95</v>
      </c>
      <c r="F17" s="353">
        <f>IF(E17="N/A","",ProjectPlan!E13)</f>
        <v>45688</v>
      </c>
      <c r="G17" s="353">
        <f>IF(E17="N/A","",ProjectPlan!F13)</f>
        <v>45698</v>
      </c>
      <c r="H17" s="352">
        <f>IF($E17="N/A", "",INT((F17-Project_Start)/7) + 1)</f>
        <v>4</v>
      </c>
      <c r="I17" s="348">
        <f t="shared" si="4"/>
        <v>11</v>
      </c>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32"/>
      <c r="AH17" s="232"/>
      <c r="AI17" s="232"/>
      <c r="AJ17" s="232"/>
      <c r="AK17" s="232"/>
      <c r="AL17" s="232"/>
      <c r="AM17" s="232"/>
      <c r="AN17" s="232"/>
      <c r="AO17" s="232"/>
      <c r="AP17" s="232"/>
      <c r="AQ17" s="232"/>
      <c r="AR17" s="232"/>
      <c r="AS17" s="232"/>
      <c r="AT17" s="232"/>
      <c r="AU17" s="232"/>
      <c r="AV17" s="232"/>
      <c r="AW17" s="232"/>
      <c r="AX17" s="232"/>
      <c r="AY17" s="232"/>
      <c r="AZ17" s="232"/>
      <c r="BA17" s="232"/>
      <c r="BB17" s="232"/>
      <c r="BC17" s="232"/>
      <c r="BD17" s="232"/>
      <c r="BE17" s="232"/>
      <c r="BF17" s="232"/>
      <c r="BG17" s="232"/>
      <c r="BH17" s="232"/>
      <c r="BI17" s="232"/>
      <c r="BJ17" s="232"/>
      <c r="BK17" s="232"/>
      <c r="BL17" s="232"/>
      <c r="BM17" s="232"/>
    </row>
    <row r="18" spans="1:65" s="233" customFormat="1" ht="16.5" thickBot="1" x14ac:dyDescent="0.3">
      <c r="A18" s="87"/>
      <c r="B18" s="349" t="str">
        <f>IF($E18="N/A", "",ProjectPlan!B14)</f>
        <v>1.2.4</v>
      </c>
      <c r="C18" s="350" t="str">
        <f>IF(E18="N/A", "",ProjectPlan!C14)</f>
        <v>Prioritise Stories and Requirements with Stakeholders</v>
      </c>
      <c r="D18" s="344" t="str">
        <f>IF(E18="N/A", "",_xlfn.XLOOKUP(tbl_prj_schedu[[#This Row],[REF]],tbl_AssignRole[Ref],tbl_AssignRole[AssigRole]))</f>
        <v>Clara Bennett-PROD</v>
      </c>
      <c r="E18" s="345">
        <f>ProjectPlan!I14</f>
        <v>0.95</v>
      </c>
      <c r="F18" s="353">
        <f>IF(E18="N/A","",ProjectPlan!E14)</f>
        <v>45699</v>
      </c>
      <c r="G18" s="353">
        <f>IF(E18="N/A","",ProjectPlan!F14)</f>
        <v>45702</v>
      </c>
      <c r="H18" s="352">
        <f>IF($E18="N/A", "",INT((F18-Project_Start)/7) + 1)</f>
        <v>6</v>
      </c>
      <c r="I18" s="348">
        <f t="shared" si="4"/>
        <v>4</v>
      </c>
      <c r="J18" s="232"/>
      <c r="K18" s="232"/>
      <c r="L18" s="232"/>
      <c r="M18" s="232"/>
      <c r="N18" s="232"/>
      <c r="O18" s="232"/>
      <c r="P18" s="232"/>
      <c r="Q18" s="232"/>
      <c r="R18" s="232"/>
      <c r="S18" s="232"/>
      <c r="T18" s="232"/>
      <c r="U18" s="232"/>
      <c r="V18" s="232"/>
      <c r="W18" s="232"/>
      <c r="X18" s="232"/>
      <c r="Y18" s="232"/>
      <c r="Z18" s="234"/>
      <c r="AA18" s="232"/>
      <c r="AB18" s="232"/>
      <c r="AC18" s="232"/>
      <c r="AD18" s="232"/>
      <c r="AE18" s="232"/>
      <c r="AF18" s="232"/>
      <c r="AG18" s="232"/>
      <c r="AH18" s="232"/>
      <c r="AI18" s="232"/>
      <c r="AJ18" s="232"/>
      <c r="AK18" s="232"/>
      <c r="AL18" s="232"/>
      <c r="AM18" s="232"/>
      <c r="AN18" s="232"/>
      <c r="AO18" s="232"/>
      <c r="AP18" s="232"/>
      <c r="AQ18" s="232"/>
      <c r="AR18" s="232"/>
      <c r="AS18" s="232"/>
      <c r="AT18" s="232"/>
      <c r="AU18" s="232"/>
      <c r="AV18" s="232"/>
      <c r="AW18" s="232"/>
      <c r="AX18" s="232"/>
      <c r="AY18" s="232"/>
      <c r="AZ18" s="232"/>
      <c r="BA18" s="232"/>
      <c r="BB18" s="232"/>
      <c r="BC18" s="232"/>
      <c r="BD18" s="232"/>
      <c r="BE18" s="232"/>
      <c r="BF18" s="232"/>
      <c r="BG18" s="232"/>
      <c r="BH18" s="232"/>
      <c r="BI18" s="232"/>
      <c r="BJ18" s="232"/>
      <c r="BK18" s="232"/>
      <c r="BL18" s="232"/>
      <c r="BM18" s="232"/>
    </row>
    <row r="19" spans="1:65" s="233" customFormat="1" ht="16.5" thickBot="1" x14ac:dyDescent="0.3">
      <c r="A19" s="87"/>
      <c r="B19" s="349" t="str">
        <f>IF($E19="N/A", "",ProjectPlan!B15)</f>
        <v>1.2.5</v>
      </c>
      <c r="C19" s="350" t="str">
        <f>IF(E19="N/A", "",ProjectPlan!C15)</f>
        <v>Publish Documents to Internal Stakeholders and Update</v>
      </c>
      <c r="D19" s="344" t="str">
        <f>IF(E19="N/A", "",_xlfn.XLOOKUP(tbl_prj_schedu[[#This Row],[REF]],tbl_AssignRole[Ref],tbl_AssignRole[AssigRole]))</f>
        <v>James Whitmore-BANA</v>
      </c>
      <c r="E19" s="345">
        <f>ProjectPlan!I15</f>
        <v>0.1</v>
      </c>
      <c r="F19" s="353">
        <f>IF(E19="N/A","",ProjectPlan!E15)</f>
        <v>45705</v>
      </c>
      <c r="G19" s="353">
        <f>IF(E19="N/A","",ProjectPlan!F15)</f>
        <v>45706</v>
      </c>
      <c r="H19" s="352">
        <f>IF($E19="N/A", "",INT((F19-Project_Start)/7) + 1)</f>
        <v>7</v>
      </c>
      <c r="I19" s="348">
        <f t="shared" si="4"/>
        <v>2</v>
      </c>
      <c r="J19" s="232"/>
      <c r="K19" s="232"/>
      <c r="L19" s="232"/>
      <c r="M19" s="232"/>
      <c r="N19" s="232"/>
      <c r="O19" s="232"/>
      <c r="P19" s="232"/>
      <c r="Q19" s="232"/>
      <c r="R19" s="232"/>
      <c r="S19" s="232"/>
      <c r="T19" s="232"/>
      <c r="U19" s="232"/>
      <c r="V19" s="232"/>
      <c r="W19" s="232"/>
      <c r="X19" s="232"/>
      <c r="Y19" s="232"/>
      <c r="Z19" s="232"/>
      <c r="AA19" s="232"/>
      <c r="AB19" s="232"/>
      <c r="AC19" s="232"/>
      <c r="AD19" s="232"/>
      <c r="AE19" s="232"/>
      <c r="AF19" s="232"/>
      <c r="AG19" s="232"/>
      <c r="AH19" s="232"/>
      <c r="AI19" s="232"/>
      <c r="AJ19" s="232"/>
      <c r="AK19" s="232"/>
      <c r="AL19" s="232"/>
      <c r="AM19" s="232"/>
      <c r="AN19" s="232"/>
      <c r="AO19" s="232"/>
      <c r="AP19" s="232"/>
      <c r="AQ19" s="232"/>
      <c r="AR19" s="232"/>
      <c r="AS19" s="232"/>
      <c r="AT19" s="232"/>
      <c r="AU19" s="232"/>
      <c r="AV19" s="232"/>
      <c r="AW19" s="232"/>
      <c r="AX19" s="232"/>
      <c r="AY19" s="232"/>
      <c r="AZ19" s="232"/>
      <c r="BA19" s="232"/>
      <c r="BB19" s="232"/>
      <c r="BC19" s="232"/>
      <c r="BD19" s="232"/>
      <c r="BE19" s="232"/>
      <c r="BF19" s="232"/>
      <c r="BG19" s="232"/>
      <c r="BH19" s="232"/>
      <c r="BI19" s="232"/>
      <c r="BJ19" s="232"/>
      <c r="BK19" s="232"/>
      <c r="BL19" s="232"/>
      <c r="BM19" s="232"/>
    </row>
    <row r="20" spans="1:65" s="233" customFormat="1" ht="16.5" thickBot="1" x14ac:dyDescent="0.3">
      <c r="A20" s="87"/>
      <c r="B20" s="342" t="s">
        <v>129</v>
      </c>
      <c r="C20" s="343" t="str">
        <f>IF(ProjectPlan!C17&lt;&gt;"",ProjectPlan!C17,"")</f>
        <v>System Architecture Design</v>
      </c>
      <c r="D20" s="344"/>
      <c r="E20" s="345"/>
      <c r="F20" s="346"/>
      <c r="G20" s="347"/>
      <c r="H20" s="352"/>
      <c r="I20" s="348" t="str">
        <f t="shared" si="4"/>
        <v/>
      </c>
      <c r="J20" s="232"/>
      <c r="K20" s="232"/>
      <c r="L20" s="232"/>
      <c r="M20" s="232"/>
      <c r="N20" s="232"/>
      <c r="O20" s="232"/>
      <c r="P20" s="232"/>
      <c r="Q20" s="232"/>
      <c r="R20" s="232"/>
      <c r="S20" s="232"/>
      <c r="T20" s="232"/>
      <c r="U20" s="232"/>
      <c r="V20" s="232"/>
      <c r="W20" s="232"/>
      <c r="X20" s="232"/>
      <c r="Y20" s="232"/>
      <c r="Z20" s="232"/>
      <c r="AA20" s="232"/>
      <c r="AB20" s="232"/>
      <c r="AC20" s="232"/>
      <c r="AD20" s="232"/>
      <c r="AE20" s="232"/>
      <c r="AF20" s="232"/>
      <c r="AG20" s="232"/>
      <c r="AH20" s="232"/>
      <c r="AI20" s="232"/>
      <c r="AJ20" s="232"/>
      <c r="AK20" s="232"/>
      <c r="AL20" s="232"/>
      <c r="AM20" s="232"/>
      <c r="AN20" s="232"/>
      <c r="AO20" s="232"/>
      <c r="AP20" s="232"/>
      <c r="AQ20" s="232"/>
      <c r="AR20" s="232"/>
      <c r="AS20" s="232"/>
      <c r="AT20" s="232"/>
      <c r="AU20" s="232"/>
      <c r="AV20" s="232"/>
      <c r="AW20" s="232"/>
      <c r="AX20" s="232"/>
      <c r="AY20" s="232"/>
      <c r="AZ20" s="232"/>
      <c r="BA20" s="232"/>
      <c r="BB20" s="232"/>
      <c r="BC20" s="232"/>
      <c r="BD20" s="232"/>
      <c r="BE20" s="232"/>
      <c r="BF20" s="232"/>
      <c r="BG20" s="232"/>
      <c r="BH20" s="232"/>
      <c r="BI20" s="232"/>
      <c r="BJ20" s="232"/>
      <c r="BK20" s="232"/>
      <c r="BL20" s="232"/>
      <c r="BM20" s="232"/>
    </row>
    <row r="21" spans="1:65" s="233" customFormat="1" ht="16.5" thickBot="1" x14ac:dyDescent="0.3">
      <c r="A21" s="87"/>
      <c r="B21" s="349" t="str">
        <f>IF($E21="N/A","",ProjectPlan!B18)</f>
        <v>1.3.1</v>
      </c>
      <c r="C21" s="350" t="str">
        <f>IF($E21="N/A","",ProjectPlan!C18)</f>
        <v>Document and Agree Key Performance Indicators</v>
      </c>
      <c r="D21" s="344" t="str">
        <f>IF(E21="N/A", "",_xlfn.XLOOKUP(tbl_prj_schedu[[#This Row],[REF]],tbl_AssignRole[Ref],tbl_AssignRole[AssigRole]))</f>
        <v>Liam Gardner-PERL</v>
      </c>
      <c r="E21" s="345">
        <f>ProjectPlan!I18</f>
        <v>0.5</v>
      </c>
      <c r="F21" s="351">
        <f>IF(E21="N/A", "",ProjectPlan!E18)</f>
        <v>45699</v>
      </c>
      <c r="G21" s="351">
        <f>IF(E21="N/A", "",ProjectPlan!F18)</f>
        <v>45705</v>
      </c>
      <c r="H21" s="352">
        <f>IF($E21="N/A", "",INT((F21-Project_Start)/7) + 1)</f>
        <v>6</v>
      </c>
      <c r="I21" s="348">
        <f t="shared" si="4"/>
        <v>7</v>
      </c>
      <c r="J21" s="232"/>
      <c r="K21" s="232"/>
      <c r="L21" s="232"/>
      <c r="M21" s="232"/>
      <c r="N21" s="232"/>
      <c r="O21" s="232"/>
      <c r="P21" s="232"/>
      <c r="Q21" s="232"/>
      <c r="R21" s="232"/>
      <c r="S21" s="232"/>
      <c r="T21" s="232"/>
      <c r="U21" s="232"/>
      <c r="V21" s="232"/>
      <c r="W21" s="232"/>
      <c r="X21" s="232"/>
      <c r="Y21" s="232"/>
      <c r="Z21" s="232"/>
      <c r="AA21" s="232"/>
      <c r="AB21" s="232"/>
      <c r="AC21" s="232"/>
      <c r="AD21" s="232"/>
      <c r="AE21" s="232"/>
      <c r="AF21" s="232"/>
      <c r="AG21" s="232"/>
      <c r="AH21" s="232"/>
      <c r="AI21" s="232"/>
      <c r="AJ21" s="232"/>
      <c r="AK21" s="232"/>
      <c r="AL21" s="232"/>
      <c r="AM21" s="232"/>
      <c r="AN21" s="232"/>
      <c r="AO21" s="232"/>
      <c r="AP21" s="232"/>
      <c r="AQ21" s="232"/>
      <c r="AR21" s="232"/>
      <c r="AS21" s="232"/>
      <c r="AT21" s="232"/>
      <c r="AU21" s="232"/>
      <c r="AV21" s="232"/>
      <c r="AW21" s="232"/>
      <c r="AX21" s="232"/>
      <c r="AY21" s="232"/>
      <c r="AZ21" s="232"/>
      <c r="BA21" s="232"/>
      <c r="BB21" s="232"/>
      <c r="BC21" s="232"/>
      <c r="BD21" s="232"/>
      <c r="BE21" s="232"/>
      <c r="BF21" s="232"/>
      <c r="BG21" s="232"/>
      <c r="BH21" s="232"/>
      <c r="BI21" s="232"/>
      <c r="BJ21" s="232"/>
      <c r="BK21" s="232"/>
      <c r="BL21" s="232"/>
      <c r="BM21" s="232"/>
    </row>
    <row r="22" spans="1:65" s="233" customFormat="1" ht="16.5" thickBot="1" x14ac:dyDescent="0.3">
      <c r="A22" s="87"/>
      <c r="B22" s="349" t="str">
        <f>IF($E22="N/A","",ProjectPlan!B19)</f>
        <v>1.3.2</v>
      </c>
      <c r="C22" s="350" t="str">
        <f>IF(E22="N/A","",ProjectPlan!C19)</f>
        <v>Create Workflow Diagrams and a Product Plan</v>
      </c>
      <c r="D22" s="344" t="str">
        <f>IF(E22="N/A", "",_xlfn.XLOOKUP(tbl_prj_schedu[[#This Row],[REF]],tbl_AssignRole[Ref],tbl_AssignRole[AssigRole]))</f>
        <v>Clara Bennett-PROD</v>
      </c>
      <c r="E22" s="345">
        <f>ProjectPlan!I19</f>
        <v>0.2</v>
      </c>
      <c r="F22" s="351">
        <f>IF(E22="N/A", "",ProjectPlan!E19)</f>
        <v>45705</v>
      </c>
      <c r="G22" s="351">
        <f>IF(E22="N/A", "",ProjectPlan!F19)</f>
        <v>45708</v>
      </c>
      <c r="H22" s="352">
        <f>IF($E22="N/A", "",INT((F22-Project_Start)/7) + 1)</f>
        <v>7</v>
      </c>
      <c r="I22" s="348">
        <f t="shared" si="4"/>
        <v>4</v>
      </c>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c r="AH22" s="232"/>
      <c r="AI22" s="232"/>
      <c r="AJ22" s="232"/>
      <c r="AK22" s="232"/>
      <c r="AL22" s="232"/>
      <c r="AM22" s="232"/>
      <c r="AN22" s="232"/>
      <c r="AO22" s="232"/>
      <c r="AP22" s="232"/>
      <c r="AQ22" s="232"/>
      <c r="AR22" s="232"/>
      <c r="AS22" s="232"/>
      <c r="AT22" s="232"/>
      <c r="AU22" s="232"/>
      <c r="AV22" s="232"/>
      <c r="AW22" s="232"/>
      <c r="AX22" s="232"/>
      <c r="AY22" s="232"/>
      <c r="AZ22" s="232"/>
      <c r="BA22" s="232"/>
      <c r="BB22" s="232"/>
      <c r="BC22" s="232"/>
      <c r="BD22" s="232"/>
      <c r="BE22" s="232"/>
      <c r="BF22" s="232"/>
      <c r="BG22" s="232"/>
      <c r="BH22" s="232"/>
      <c r="BI22" s="232"/>
      <c r="BJ22" s="232"/>
      <c r="BK22" s="232"/>
      <c r="BL22" s="232"/>
      <c r="BM22" s="232"/>
    </row>
    <row r="23" spans="1:65" s="233" customFormat="1" ht="16.5" thickBot="1" x14ac:dyDescent="0.3">
      <c r="A23" s="87"/>
      <c r="B23" s="349" t="str">
        <f>IF($E23="N/A","",ProjectPlan!B20)</f>
        <v>1.3.3</v>
      </c>
      <c r="C23" s="350" t="str">
        <f>IF(E23="N/A","",ProjectPlan!C20)</f>
        <v>Develop High-Level Technical Specifications</v>
      </c>
      <c r="D23" s="344" t="str">
        <f>IF(E23="N/A", "",_xlfn.XLOOKUP(tbl_prj_schedu[[#This Row],[REF]],tbl_AssignRole[Ref],tbl_AssignRole[AssigRole]))</f>
        <v>Evelyn Hart-ARCH</v>
      </c>
      <c r="E23" s="345">
        <f>ProjectPlan!I20</f>
        <v>0.2</v>
      </c>
      <c r="F23" s="351">
        <f>IF(E23="N/A", "",ProjectPlan!E20)</f>
        <v>45707</v>
      </c>
      <c r="G23" s="351">
        <f>IF(E23="N/A", "",ProjectPlan!F20)</f>
        <v>45715</v>
      </c>
      <c r="H23" s="352">
        <f>IF($E23="N/A", "",INT((F23-Project_Start)/7) + 1)</f>
        <v>7</v>
      </c>
      <c r="I23" s="348">
        <f t="shared" si="4"/>
        <v>9</v>
      </c>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c r="AH23" s="232"/>
      <c r="AI23" s="232"/>
      <c r="AJ23" s="232"/>
      <c r="AK23" s="232"/>
      <c r="AL23" s="232"/>
      <c r="AM23" s="232"/>
      <c r="AN23" s="232"/>
      <c r="AO23" s="232"/>
      <c r="AP23" s="232"/>
      <c r="AQ23" s="232"/>
      <c r="AR23" s="232"/>
      <c r="AS23" s="232"/>
      <c r="AT23" s="232"/>
      <c r="AU23" s="232"/>
      <c r="AV23" s="232"/>
      <c r="AW23" s="232"/>
      <c r="AX23" s="232"/>
      <c r="AY23" s="232"/>
      <c r="AZ23" s="232"/>
      <c r="BA23" s="232"/>
      <c r="BB23" s="232"/>
      <c r="BC23" s="232"/>
      <c r="BD23" s="232"/>
      <c r="BE23" s="232"/>
      <c r="BF23" s="232"/>
      <c r="BG23" s="232"/>
      <c r="BH23" s="232"/>
      <c r="BI23" s="232"/>
      <c r="BJ23" s="232"/>
      <c r="BK23" s="232"/>
      <c r="BL23" s="232"/>
      <c r="BM23" s="232"/>
    </row>
    <row r="24" spans="1:65" s="233" customFormat="1" ht="16.5" thickBot="1" x14ac:dyDescent="0.3">
      <c r="A24" s="87"/>
      <c r="B24" s="349" t="str">
        <f>IF($E24="N/A","",ProjectPlan!B21)</f>
        <v>1.3.4</v>
      </c>
      <c r="C24" s="350" t="str">
        <f>IF(E24="N/A","",ProjectPlan!C21)</f>
        <v>Review and Agree Designs with Lead Stakeholders</v>
      </c>
      <c r="D24" s="344" t="str">
        <f>IF(E24="N/A", "",_xlfn.XLOOKUP(tbl_prj_schedu[[#This Row],[REF]],tbl_AssignRole[Ref],tbl_AssignRole[AssigRole]))</f>
        <v>Clara Bennett-PROD</v>
      </c>
      <c r="E24" s="345">
        <f>ProjectPlan!I21</f>
        <v>0.2</v>
      </c>
      <c r="F24" s="351">
        <f>IF(E24="N/A", "",ProjectPlan!E21)</f>
        <v>45716</v>
      </c>
      <c r="G24" s="351">
        <f>IF(E24="N/A", "",ProjectPlan!F21)</f>
        <v>45722</v>
      </c>
      <c r="H24" s="352">
        <f>IF($E24="N/A", "",INT((F24-Project_Start)/7) + 1)</f>
        <v>8</v>
      </c>
      <c r="I24" s="348">
        <f t="shared" si="4"/>
        <v>7</v>
      </c>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32"/>
      <c r="AH24" s="232"/>
      <c r="AI24" s="232"/>
      <c r="AJ24" s="232"/>
      <c r="AK24" s="232"/>
      <c r="AL24" s="232"/>
      <c r="AM24" s="232"/>
      <c r="AN24" s="232"/>
      <c r="AO24" s="232"/>
      <c r="AP24" s="232"/>
      <c r="AQ24" s="232"/>
      <c r="AR24" s="232"/>
      <c r="AS24" s="232"/>
      <c r="AT24" s="232"/>
      <c r="AU24" s="232"/>
      <c r="AV24" s="232"/>
      <c r="AW24" s="232"/>
      <c r="AX24" s="232"/>
      <c r="AY24" s="232"/>
      <c r="AZ24" s="232"/>
      <c r="BA24" s="232"/>
      <c r="BB24" s="232"/>
      <c r="BC24" s="232"/>
      <c r="BD24" s="232"/>
      <c r="BE24" s="232"/>
      <c r="BF24" s="232"/>
      <c r="BG24" s="232"/>
      <c r="BH24" s="232"/>
      <c r="BI24" s="232"/>
      <c r="BJ24" s="232"/>
      <c r="BK24" s="232"/>
      <c r="BL24" s="232"/>
      <c r="BM24" s="232"/>
    </row>
    <row r="25" spans="1:65" s="233" customFormat="1" ht="16.5" thickBot="1" x14ac:dyDescent="0.3">
      <c r="A25" s="87"/>
      <c r="B25" s="349" t="str">
        <f>IF($E25="N/A","",ProjectPlan!B22)</f>
        <v>1.3.5</v>
      </c>
      <c r="C25" s="350" t="str">
        <f>IF(E25="N/A","",ProjectPlan!C22)</f>
        <v>Start GUI and Server Component Development, and API Implementation</v>
      </c>
      <c r="D25" s="344" t="str">
        <f>IF(E25="N/A", "",_xlfn.XLOOKUP(tbl_prj_schedu[[#This Row],[REF]],tbl_AssignRole[Ref],tbl_AssignRole[AssigRole]))</f>
        <v>Evelyn Hart-ARCH</v>
      </c>
      <c r="E25" s="345">
        <f>ProjectPlan!I22</f>
        <v>0.1</v>
      </c>
      <c r="F25" s="351">
        <f>IF(E25="N/A", "",ProjectPlan!E22)</f>
        <v>45723</v>
      </c>
      <c r="G25" s="351">
        <f>IF(E25="N/A", "",ProjectPlan!F22)</f>
        <v>45723</v>
      </c>
      <c r="H25" s="352">
        <f>IF($E25="N/A", "",INT((F25-Project_Start)/7) + 1)</f>
        <v>9</v>
      </c>
      <c r="I25" s="348">
        <f t="shared" si="4"/>
        <v>1</v>
      </c>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c r="AH25" s="232"/>
      <c r="AI25" s="232"/>
      <c r="AJ25" s="232"/>
      <c r="AK25" s="232"/>
      <c r="AL25" s="232"/>
      <c r="AM25" s="232"/>
      <c r="AN25" s="232"/>
      <c r="AO25" s="232"/>
      <c r="AP25" s="232"/>
      <c r="AQ25" s="232"/>
      <c r="AR25" s="232"/>
      <c r="AS25" s="232"/>
      <c r="AT25" s="232"/>
      <c r="AU25" s="232"/>
      <c r="AV25" s="232"/>
      <c r="AW25" s="232"/>
      <c r="AX25" s="232"/>
      <c r="AY25" s="232"/>
      <c r="AZ25" s="232"/>
      <c r="BA25" s="232"/>
      <c r="BB25" s="232"/>
      <c r="BC25" s="232"/>
      <c r="BD25" s="232"/>
      <c r="BE25" s="232"/>
      <c r="BF25" s="232"/>
      <c r="BG25" s="232"/>
      <c r="BH25" s="232"/>
      <c r="BI25" s="232"/>
      <c r="BJ25" s="232"/>
      <c r="BK25" s="232"/>
      <c r="BL25" s="232"/>
      <c r="BM25" s="232"/>
    </row>
    <row r="26" spans="1:65" s="233" customFormat="1" ht="16.5" thickBot="1" x14ac:dyDescent="0.3">
      <c r="A26" s="87"/>
      <c r="B26" s="342" t="s">
        <v>129</v>
      </c>
      <c r="C26" s="343" t="str">
        <f>IF(ProjectPlan!C24&lt;&gt;"",ProjectPlan!C24,"")</f>
        <v>Design and Plan GUI Development</v>
      </c>
      <c r="D26" s="344"/>
      <c r="E26" s="345"/>
      <c r="F26" s="346"/>
      <c r="G26" s="347"/>
      <c r="H26" s="352"/>
      <c r="I26" s="348" t="str">
        <f t="shared" si="4"/>
        <v/>
      </c>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c r="AH26" s="232"/>
      <c r="AI26" s="232"/>
      <c r="AJ26" s="232"/>
      <c r="AK26" s="232"/>
      <c r="AL26" s="232"/>
      <c r="AM26" s="232"/>
      <c r="AN26" s="232"/>
      <c r="AO26" s="232"/>
      <c r="AP26" s="232"/>
      <c r="AQ26" s="232"/>
      <c r="AR26" s="232"/>
      <c r="AS26" s="232"/>
      <c r="AT26" s="232"/>
      <c r="AU26" s="232"/>
      <c r="AV26" s="232"/>
      <c r="AW26" s="232"/>
      <c r="AX26" s="232"/>
      <c r="AY26" s="232"/>
      <c r="AZ26" s="232"/>
      <c r="BA26" s="232"/>
      <c r="BB26" s="232"/>
      <c r="BC26" s="232"/>
      <c r="BD26" s="232"/>
      <c r="BE26" s="232"/>
      <c r="BF26" s="232"/>
      <c r="BG26" s="232"/>
      <c r="BH26" s="232"/>
      <c r="BI26" s="232"/>
      <c r="BJ26" s="232"/>
      <c r="BK26" s="232"/>
      <c r="BL26" s="232"/>
      <c r="BM26" s="232"/>
    </row>
    <row r="27" spans="1:65" s="233" customFormat="1" ht="16.5" thickBot="1" x14ac:dyDescent="0.3">
      <c r="A27" s="87"/>
      <c r="B27" s="349" t="str">
        <f>IF($E27="N/A", "",ProjectPlan!B25)</f>
        <v>2.1.1</v>
      </c>
      <c r="C27" s="350" t="str">
        <f>IF($E27="N/A", "",ProjectPlan!C25)</f>
        <v>Create Wireframes and Mockups. Identify Default Values Required for Trading.</v>
      </c>
      <c r="D27" s="344" t="str">
        <f>IF(E27="N/A", "",_xlfn.XLOOKUP(tbl_prj_schedu[[#This Row],[REF]],tbl_AssignRole[Ref],tbl_AssignRole[AssigRole]))</f>
        <v>Chloe Martin-UXDE</v>
      </c>
      <c r="E27" s="345">
        <f>ProjectPlan!I25</f>
        <v>0.1</v>
      </c>
      <c r="F27" s="351">
        <f>IF(E27="N/A", "",ProjectPlan!E25)</f>
        <v>45726</v>
      </c>
      <c r="G27" s="351">
        <f>IF(E27="N/A", "",ProjectPlan!F25)</f>
        <v>45737</v>
      </c>
      <c r="H27" s="352">
        <f>IF($E27="N/A", "",INT((F27-Project_Start)/7) + 1)</f>
        <v>10</v>
      </c>
      <c r="I27" s="348">
        <f t="shared" si="4"/>
        <v>12</v>
      </c>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c r="AH27" s="232"/>
      <c r="AI27" s="232"/>
      <c r="AJ27" s="232"/>
      <c r="AK27" s="232"/>
      <c r="AL27" s="232"/>
      <c r="AM27" s="232"/>
      <c r="AN27" s="232"/>
      <c r="AO27" s="232"/>
      <c r="AP27" s="232"/>
      <c r="AQ27" s="232"/>
      <c r="AR27" s="232"/>
      <c r="AS27" s="232"/>
      <c r="AT27" s="232"/>
      <c r="AU27" s="232"/>
      <c r="AV27" s="232"/>
      <c r="AW27" s="232"/>
      <c r="AX27" s="232"/>
      <c r="AY27" s="232"/>
      <c r="AZ27" s="232"/>
      <c r="BA27" s="232"/>
      <c r="BB27" s="232"/>
      <c r="BC27" s="232"/>
      <c r="BD27" s="232"/>
      <c r="BE27" s="232"/>
      <c r="BF27" s="232"/>
      <c r="BG27" s="232"/>
      <c r="BH27" s="232"/>
      <c r="BI27" s="232"/>
      <c r="BJ27" s="232"/>
      <c r="BK27" s="232"/>
      <c r="BL27" s="232"/>
      <c r="BM27" s="232"/>
    </row>
    <row r="28" spans="1:65" s="233" customFormat="1" ht="16.5" thickBot="1" x14ac:dyDescent="0.3">
      <c r="A28" s="87"/>
      <c r="B28" s="349" t="str">
        <f>IF($E28="N/A", "",ProjectPlan!B26)</f>
        <v>2.1.2</v>
      </c>
      <c r="C28" s="350" t="str">
        <f>IF(E28="N/A", "",ProjectPlan!C26)</f>
        <v>Identify User Data Flow for Optimal User Experience</v>
      </c>
      <c r="D28" s="344" t="str">
        <f>IF(E28="N/A", "",_xlfn.XLOOKUP(tbl_prj_schedu[[#This Row],[REF]],tbl_AssignRole[Ref],tbl_AssignRole[AssigRole]))</f>
        <v>James Whitmore-BANA</v>
      </c>
      <c r="E28" s="345">
        <f>ProjectPlan!I26</f>
        <v>0</v>
      </c>
      <c r="F28" s="351">
        <f>IF(E28="N/A", "",ProjectPlan!E26)</f>
        <v>45726</v>
      </c>
      <c r="G28" s="351">
        <f>IF(E28="N/A", "",ProjectPlan!F26)</f>
        <v>45737</v>
      </c>
      <c r="H28" s="352">
        <f>IF($E28="N/A", "",INT((F28-Project_Start)/7) + 1)</f>
        <v>10</v>
      </c>
      <c r="I28" s="348">
        <f t="shared" si="4"/>
        <v>12</v>
      </c>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c r="AH28" s="232"/>
      <c r="AI28" s="232"/>
      <c r="AJ28" s="232"/>
      <c r="AK28" s="232"/>
      <c r="AL28" s="232"/>
      <c r="AM28" s="232"/>
      <c r="AN28" s="232"/>
      <c r="AO28" s="232"/>
      <c r="AP28" s="232"/>
      <c r="AQ28" s="232"/>
      <c r="AR28" s="232"/>
      <c r="AS28" s="232"/>
      <c r="AT28" s="232"/>
      <c r="AU28" s="232"/>
      <c r="AV28" s="232"/>
      <c r="AW28" s="232"/>
      <c r="AX28" s="232"/>
      <c r="AY28" s="232"/>
      <c r="AZ28" s="232"/>
      <c r="BA28" s="232"/>
      <c r="BB28" s="232"/>
      <c r="BC28" s="232"/>
      <c r="BD28" s="232"/>
      <c r="BE28" s="232"/>
      <c r="BF28" s="232"/>
      <c r="BG28" s="232"/>
      <c r="BH28" s="232"/>
      <c r="BI28" s="232"/>
      <c r="BJ28" s="232"/>
      <c r="BK28" s="232"/>
      <c r="BL28" s="232"/>
      <c r="BM28" s="232"/>
    </row>
    <row r="29" spans="1:65" s="233" customFormat="1" ht="16.5" thickBot="1" x14ac:dyDescent="0.3">
      <c r="A29" s="87"/>
      <c r="B29" s="349" t="str">
        <f>IF($E29="N/A", "",ProjectPlan!B27)</f>
        <v>2.1.3</v>
      </c>
      <c r="C29" s="350" t="str">
        <f>IF(E29="N/A", "",ProjectPlan!C27)</f>
        <v>Develop a Test Plan: Usability, Configuration, etc.</v>
      </c>
      <c r="D29" s="344" t="str">
        <f>IF(E29="N/A", "",_xlfn.XLOOKUP(tbl_prj_schedu[[#This Row],[REF]],tbl_AssignRole[Ref],tbl_AssignRole[AssigRole]))</f>
        <v>Ryan Carter-TEST</v>
      </c>
      <c r="E29" s="345">
        <f>ProjectPlan!I27</f>
        <v>0</v>
      </c>
      <c r="F29" s="351">
        <f>IF(E29="N/A", "",ProjectPlan!E27)</f>
        <v>45726</v>
      </c>
      <c r="G29" s="351">
        <f>IF(E29="N/A", "",ProjectPlan!F27)</f>
        <v>45737</v>
      </c>
      <c r="H29" s="352">
        <f>IF($E29="N/A", "",INT((F29-Project_Start)/7) + 1)</f>
        <v>10</v>
      </c>
      <c r="I29" s="348">
        <f t="shared" si="4"/>
        <v>12</v>
      </c>
      <c r="J29" s="232"/>
      <c r="K29" s="232"/>
      <c r="L29" s="232"/>
      <c r="M29" s="232"/>
      <c r="N29" s="232"/>
      <c r="O29" s="232"/>
      <c r="P29" s="232"/>
      <c r="Q29" s="232"/>
      <c r="R29" s="232"/>
      <c r="S29" s="232"/>
      <c r="T29" s="232"/>
      <c r="U29" s="232"/>
      <c r="V29" s="232"/>
      <c r="W29" s="232"/>
      <c r="X29" s="232"/>
      <c r="Y29" s="232"/>
      <c r="Z29" s="232"/>
      <c r="AA29" s="232"/>
      <c r="AB29" s="232"/>
      <c r="AC29" s="232"/>
      <c r="AD29" s="232"/>
      <c r="AE29" s="232"/>
      <c r="AF29" s="232"/>
      <c r="AG29" s="232"/>
      <c r="AH29" s="232"/>
      <c r="AI29" s="232"/>
      <c r="AJ29" s="232"/>
      <c r="AK29" s="232"/>
      <c r="AL29" s="232"/>
      <c r="AM29" s="232"/>
      <c r="AN29" s="232"/>
      <c r="AO29" s="232"/>
      <c r="AP29" s="232"/>
      <c r="AQ29" s="232"/>
      <c r="AR29" s="232"/>
      <c r="AS29" s="232"/>
      <c r="AT29" s="232"/>
      <c r="AU29" s="232"/>
      <c r="AV29" s="232"/>
      <c r="AW29" s="232"/>
      <c r="AX29" s="232"/>
      <c r="AY29" s="232"/>
      <c r="AZ29" s="232"/>
      <c r="BA29" s="232"/>
      <c r="BB29" s="232"/>
      <c r="BC29" s="232"/>
      <c r="BD29" s="232"/>
      <c r="BE29" s="232"/>
      <c r="BF29" s="232"/>
      <c r="BG29" s="232"/>
      <c r="BH29" s="232"/>
      <c r="BI29" s="232"/>
      <c r="BJ29" s="232"/>
      <c r="BK29" s="232"/>
      <c r="BL29" s="232"/>
      <c r="BM29" s="232"/>
    </row>
    <row r="30" spans="1:65" s="233" customFormat="1" ht="16.5" thickBot="1" x14ac:dyDescent="0.3">
      <c r="A30" s="87"/>
      <c r="B30" s="349" t="str">
        <f>IF($E30="N/A", "",ProjectPlan!B28)</f>
        <v>2.1.4</v>
      </c>
      <c r="C30" s="350" t="str">
        <f>IF(E30="N/A", "",ProjectPlan!C28)</f>
        <v>Create a Roadmap and Agree on the Plan</v>
      </c>
      <c r="D30" s="344" t="str">
        <f>IF(E30="N/A", "",_xlfn.XLOOKUP(tbl_prj_schedu[[#This Row],[REF]],tbl_AssignRole[Ref],tbl_AssignRole[AssigRole]))</f>
        <v>Clara Bennett-PROD</v>
      </c>
      <c r="E30" s="345">
        <f>ProjectPlan!I28</f>
        <v>0</v>
      </c>
      <c r="F30" s="351">
        <f>IF(E30="N/A", "",ProjectPlan!E28)</f>
        <v>45726</v>
      </c>
      <c r="G30" s="351">
        <f>IF(E30="N/A", "",ProjectPlan!F28)</f>
        <v>45737</v>
      </c>
      <c r="H30" s="352">
        <f>IF($E30="N/A", "",INT((F30-Project_Start)/7) + 1)</f>
        <v>10</v>
      </c>
      <c r="I30" s="348">
        <f t="shared" si="4"/>
        <v>12</v>
      </c>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c r="AH30" s="232"/>
      <c r="AI30" s="232"/>
      <c r="AJ30" s="232"/>
      <c r="AK30" s="232"/>
      <c r="AL30" s="232"/>
      <c r="AM30" s="232"/>
      <c r="AN30" s="232"/>
      <c r="AO30" s="232"/>
      <c r="AP30" s="232"/>
      <c r="AQ30" s="232"/>
      <c r="AR30" s="232"/>
      <c r="AS30" s="232"/>
      <c r="AT30" s="232"/>
      <c r="AU30" s="232"/>
      <c r="AV30" s="232"/>
      <c r="AW30" s="232"/>
      <c r="AX30" s="232"/>
      <c r="AY30" s="232"/>
      <c r="AZ30" s="232"/>
      <c r="BA30" s="232"/>
      <c r="BB30" s="232"/>
      <c r="BC30" s="232"/>
      <c r="BD30" s="232"/>
      <c r="BE30" s="232"/>
      <c r="BF30" s="232"/>
      <c r="BG30" s="232"/>
      <c r="BH30" s="232"/>
      <c r="BI30" s="232"/>
      <c r="BJ30" s="232"/>
      <c r="BK30" s="232"/>
      <c r="BL30" s="232"/>
      <c r="BM30" s="232"/>
    </row>
    <row r="31" spans="1:65" s="233" customFormat="1" ht="16.5" thickBot="1" x14ac:dyDescent="0.3">
      <c r="A31" s="87"/>
      <c r="B31" s="349" t="str">
        <f>IF($E31="N/A", "",ProjectPlan!B29)</f>
        <v>2.1.5</v>
      </c>
      <c r="C31" s="350" t="str">
        <f>IF(E31="N/A", "",ProjectPlan!C29)</f>
        <v>IT Systems and Support - Access</v>
      </c>
      <c r="D31" s="344" t="str">
        <f>IF(E31="N/A", "",_xlfn.XLOOKUP(tbl_prj_schedu[[#This Row],[REF]],tbl_AssignRole[Ref],tbl_AssignRole[AssigRole]))</f>
        <v>Teddy Smith-ITS</v>
      </c>
      <c r="E31" s="345">
        <f>ProjectPlan!I29</f>
        <v>0</v>
      </c>
      <c r="F31" s="351">
        <f>IF(E31="N/A", "",ProjectPlan!E29)</f>
        <v>45726</v>
      </c>
      <c r="G31" s="351">
        <f>IF(E31="N/A", "",ProjectPlan!F29)</f>
        <v>45730</v>
      </c>
      <c r="H31" s="352">
        <f>IF($E31="N/A", "",INT((F31-Project_Start)/7) + 1)</f>
        <v>10</v>
      </c>
      <c r="I31" s="348">
        <f t="shared" si="4"/>
        <v>5</v>
      </c>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32"/>
      <c r="AH31" s="232"/>
      <c r="AI31" s="232"/>
      <c r="AJ31" s="232"/>
      <c r="AK31" s="232"/>
      <c r="AL31" s="232"/>
      <c r="AM31" s="232"/>
      <c r="AN31" s="232"/>
      <c r="AO31" s="232"/>
      <c r="AP31" s="232"/>
      <c r="AQ31" s="232"/>
      <c r="AR31" s="232"/>
      <c r="AS31" s="232"/>
      <c r="AT31" s="232"/>
      <c r="AU31" s="232"/>
      <c r="AV31" s="232"/>
      <c r="AW31" s="232"/>
      <c r="AX31" s="232"/>
      <c r="AY31" s="232"/>
      <c r="AZ31" s="232"/>
      <c r="BA31" s="232"/>
      <c r="BB31" s="232"/>
      <c r="BC31" s="232"/>
      <c r="BD31" s="232"/>
      <c r="BE31" s="232"/>
      <c r="BF31" s="232"/>
      <c r="BG31" s="232"/>
      <c r="BH31" s="232"/>
      <c r="BI31" s="232"/>
      <c r="BJ31" s="232"/>
      <c r="BK31" s="232"/>
      <c r="BL31" s="232"/>
      <c r="BM31" s="232"/>
    </row>
    <row r="32" spans="1:65" s="233" customFormat="1" ht="16.5" thickBot="1" x14ac:dyDescent="0.3">
      <c r="A32" s="87"/>
      <c r="B32" s="342" t="s">
        <v>129</v>
      </c>
      <c r="C32" s="343" t="str">
        <f>IF(ProjectPlan!C31&lt;&gt;"",ProjectPlan!C31,"")</f>
        <v>Design and Plan Server-Side Development</v>
      </c>
      <c r="D32" s="344"/>
      <c r="E32" s="345"/>
      <c r="F32" s="346"/>
      <c r="G32" s="347"/>
      <c r="H32" s="352"/>
      <c r="I32" s="348" t="str">
        <f t="shared" si="4"/>
        <v/>
      </c>
      <c r="J32" s="235"/>
      <c r="K32" s="235"/>
      <c r="L32" s="235"/>
      <c r="M32" s="235"/>
      <c r="N32" s="235"/>
      <c r="O32" s="235"/>
      <c r="P32" s="235"/>
      <c r="Q32" s="235"/>
      <c r="R32" s="235"/>
      <c r="S32" s="235"/>
      <c r="T32" s="235"/>
      <c r="U32" s="235"/>
      <c r="V32" s="235"/>
      <c r="W32" s="235"/>
      <c r="X32" s="235"/>
      <c r="Y32" s="235"/>
      <c r="Z32" s="235"/>
      <c r="AA32" s="235"/>
      <c r="AB32" s="235"/>
      <c r="AC32" s="235"/>
      <c r="AD32" s="235"/>
      <c r="AE32" s="235"/>
      <c r="AF32" s="235"/>
      <c r="AG32" s="235"/>
      <c r="AH32" s="235"/>
      <c r="AI32" s="235"/>
      <c r="AJ32" s="235"/>
      <c r="AK32" s="235"/>
      <c r="AL32" s="235"/>
      <c r="AM32" s="235"/>
      <c r="AN32" s="235"/>
      <c r="AO32" s="235"/>
      <c r="AP32" s="235"/>
      <c r="AQ32" s="235"/>
      <c r="AR32" s="235"/>
      <c r="AS32" s="235"/>
      <c r="AT32" s="235"/>
      <c r="AU32" s="235"/>
      <c r="AV32" s="235"/>
      <c r="AW32" s="235"/>
      <c r="AX32" s="235"/>
      <c r="AY32" s="235"/>
      <c r="AZ32" s="235"/>
      <c r="BA32" s="235"/>
      <c r="BB32" s="235"/>
      <c r="BC32" s="235"/>
      <c r="BD32" s="235"/>
      <c r="BE32" s="235"/>
      <c r="BF32" s="235"/>
      <c r="BG32" s="235"/>
      <c r="BH32" s="235"/>
      <c r="BI32" s="235"/>
      <c r="BJ32" s="235"/>
      <c r="BK32" s="235"/>
      <c r="BL32" s="235"/>
      <c r="BM32" s="235"/>
    </row>
    <row r="33" spans="1:65" s="233" customFormat="1" ht="16.5" thickBot="1" x14ac:dyDescent="0.3">
      <c r="A33" s="87"/>
      <c r="B33" s="349" t="str">
        <f>IF($E33="N/A","",ProjectPlan!B32)</f>
        <v>2.2.1</v>
      </c>
      <c r="C33" s="350" t="str">
        <f>IF($E33="N/A","",ProjectPlan!C32)</f>
        <v>Design and Set Up the Database</v>
      </c>
      <c r="D33" s="344" t="str">
        <f>IF(E33="N/A", "",_xlfn.XLOOKUP(tbl_prj_schedu[[#This Row],[REF]],tbl_AssignRole[Ref],tbl_AssignRole[AssigRole]))</f>
        <v>Priya Sharma-DBDE</v>
      </c>
      <c r="E33" s="345">
        <f>ProjectPlan!I32</f>
        <v>0</v>
      </c>
      <c r="F33" s="351">
        <f>IF(E33="N/A", "",ProjectPlan!E32)</f>
        <v>45740</v>
      </c>
      <c r="G33" s="351">
        <f>IF(E33="N/A", "",ProjectPlan!F32)</f>
        <v>45751</v>
      </c>
      <c r="H33" s="352">
        <f>IF($E33="N/A", "",INT((F33-Project_Start)/7) + 1)</f>
        <v>12</v>
      </c>
      <c r="I33" s="348">
        <f t="shared" si="4"/>
        <v>12</v>
      </c>
      <c r="J33" s="236"/>
      <c r="K33" s="236"/>
      <c r="L33" s="236"/>
      <c r="M33" s="236"/>
      <c r="N33" s="236"/>
      <c r="O33" s="236"/>
      <c r="P33" s="236"/>
      <c r="Q33" s="236"/>
      <c r="R33" s="236"/>
      <c r="S33" s="236"/>
      <c r="T33" s="236"/>
      <c r="U33" s="236"/>
      <c r="V33" s="236"/>
      <c r="W33" s="236"/>
      <c r="X33" s="236"/>
      <c r="Y33" s="236"/>
      <c r="Z33" s="236"/>
      <c r="AA33" s="236"/>
      <c r="AB33" s="236"/>
      <c r="AC33" s="236"/>
      <c r="AD33" s="236"/>
      <c r="AE33" s="236"/>
      <c r="AF33" s="236"/>
      <c r="AG33" s="236"/>
      <c r="AH33" s="236"/>
      <c r="AI33" s="236"/>
      <c r="AJ33" s="236"/>
      <c r="AK33" s="236"/>
      <c r="AL33" s="236"/>
      <c r="AM33" s="236"/>
      <c r="AN33" s="236"/>
      <c r="AO33" s="236"/>
      <c r="AP33" s="236"/>
      <c r="AQ33" s="236"/>
      <c r="AR33" s="236"/>
      <c r="AS33" s="236"/>
      <c r="AT33" s="236"/>
      <c r="AU33" s="236"/>
      <c r="AV33" s="236"/>
      <c r="AW33" s="236"/>
      <c r="AX33" s="236"/>
      <c r="AY33" s="236"/>
      <c r="AZ33" s="236"/>
      <c r="BA33" s="236"/>
      <c r="BB33" s="236"/>
      <c r="BC33" s="236"/>
      <c r="BD33" s="236"/>
      <c r="BE33" s="236"/>
      <c r="BF33" s="236"/>
      <c r="BG33" s="236"/>
      <c r="BH33" s="236"/>
      <c r="BI33" s="236"/>
      <c r="BJ33" s="236"/>
      <c r="BK33" s="236"/>
      <c r="BL33" s="236"/>
      <c r="BM33" s="236"/>
    </row>
    <row r="34" spans="1:65" s="237" customFormat="1" ht="16.5" thickBot="1" x14ac:dyDescent="0.3">
      <c r="A34" s="18"/>
      <c r="B34" s="349" t="str">
        <f>IF($E34="N/A","",ProjectPlan!B33)</f>
        <v>2.2.2</v>
      </c>
      <c r="C34" s="350" t="str">
        <f>IF(E34="N/A","",ProjectPlan!C33)</f>
        <v>Develop Endpoints for the API</v>
      </c>
      <c r="D34" s="344" t="str">
        <f>IF(E34="N/A", "",_xlfn.XLOOKUP(tbl_prj_schedu[[#This Row],[REF]],tbl_AssignRole[Ref],tbl_AssignRole[AssigRole]))</f>
        <v>Max Patel-SERD</v>
      </c>
      <c r="E34" s="345">
        <f>ProjectPlan!I33</f>
        <v>0</v>
      </c>
      <c r="F34" s="351">
        <f>IF(E34="N/A", "",ProjectPlan!E33)</f>
        <v>45740</v>
      </c>
      <c r="G34" s="351">
        <f>IF(E34="N/A", "",ProjectPlan!F33)</f>
        <v>45751</v>
      </c>
      <c r="H34" s="352">
        <f>IF($E34="N/A", "",INT((F34-Project_Start)/7) + 1)</f>
        <v>12</v>
      </c>
      <c r="I34" s="348">
        <f t="shared" si="4"/>
        <v>12</v>
      </c>
      <c r="J34" s="236"/>
      <c r="K34" s="236"/>
      <c r="L34" s="236"/>
      <c r="M34" s="236"/>
      <c r="N34" s="236"/>
      <c r="O34" s="236"/>
      <c r="P34" s="236"/>
      <c r="Q34" s="236"/>
      <c r="R34" s="236"/>
      <c r="S34" s="236"/>
      <c r="T34" s="236"/>
      <c r="U34" s="236"/>
      <c r="V34" s="236"/>
      <c r="W34" s="236"/>
      <c r="X34" s="236"/>
      <c r="Y34" s="236"/>
      <c r="Z34" s="236"/>
      <c r="AA34" s="236"/>
      <c r="AB34" s="236"/>
      <c r="AC34" s="236"/>
      <c r="AD34" s="236"/>
      <c r="AE34" s="236"/>
      <c r="AF34" s="236"/>
      <c r="AG34" s="236"/>
      <c r="AH34" s="236"/>
      <c r="AI34" s="236"/>
      <c r="AJ34" s="236"/>
      <c r="AK34" s="236"/>
      <c r="AL34" s="236"/>
      <c r="AM34" s="236"/>
      <c r="AN34" s="236"/>
      <c r="AO34" s="236"/>
      <c r="AP34" s="236"/>
      <c r="AQ34" s="236"/>
      <c r="AR34" s="236"/>
      <c r="AS34" s="236"/>
      <c r="AT34" s="236"/>
      <c r="AU34" s="236"/>
      <c r="AV34" s="236"/>
      <c r="AW34" s="236"/>
      <c r="AX34" s="236"/>
      <c r="AY34" s="236"/>
      <c r="AZ34" s="236"/>
      <c r="BA34" s="236"/>
      <c r="BB34" s="236"/>
      <c r="BC34" s="236"/>
      <c r="BD34" s="236"/>
      <c r="BE34" s="236"/>
      <c r="BF34" s="236"/>
      <c r="BG34" s="236"/>
      <c r="BH34" s="236"/>
      <c r="BI34" s="236"/>
      <c r="BJ34" s="236"/>
      <c r="BK34" s="236"/>
      <c r="BL34" s="236"/>
      <c r="BM34" s="236"/>
    </row>
    <row r="35" spans="1:65" s="237" customFormat="1" ht="16.5" thickBot="1" x14ac:dyDescent="0.3">
      <c r="A35" s="18"/>
      <c r="B35" s="349" t="str">
        <f>IF($E35="N/A","",ProjectPlan!B34)</f>
        <v>2.2.3</v>
      </c>
      <c r="C35" s="350" t="str">
        <f>IF(E35="N/A","",ProjectPlan!C34)</f>
        <v>Develop Core Business Logic Services for the App</v>
      </c>
      <c r="D35" s="344" t="str">
        <f>IF(E35="N/A", "",_xlfn.XLOOKUP(tbl_prj_schedu[[#This Row],[REF]],tbl_AssignRole[Ref],tbl_AssignRole[AssigRole]))</f>
        <v>Adam Kowalski-SERD</v>
      </c>
      <c r="E35" s="345">
        <f>ProjectPlan!I34</f>
        <v>0</v>
      </c>
      <c r="F35" s="351">
        <f>IF(E35="N/A", "",ProjectPlan!E34)</f>
        <v>45740</v>
      </c>
      <c r="G35" s="351">
        <f>IF(E35="N/A", "",ProjectPlan!F34)</f>
        <v>45751</v>
      </c>
      <c r="H35" s="352">
        <f>IF($E35="N/A", "",INT((F35-Project_Start)/7) + 1)</f>
        <v>12</v>
      </c>
      <c r="I35" s="348">
        <f t="shared" si="4"/>
        <v>12</v>
      </c>
      <c r="J35" s="236"/>
      <c r="K35" s="236"/>
      <c r="L35" s="236"/>
      <c r="M35" s="236"/>
      <c r="N35" s="236"/>
      <c r="O35" s="236"/>
      <c r="P35" s="236"/>
      <c r="Q35" s="236"/>
      <c r="R35" s="236"/>
      <c r="S35" s="236"/>
      <c r="T35" s="236"/>
      <c r="U35" s="236"/>
      <c r="V35" s="236"/>
      <c r="W35" s="236"/>
      <c r="X35" s="236"/>
      <c r="Y35" s="236"/>
      <c r="Z35" s="236"/>
      <c r="AA35" s="236"/>
      <c r="AB35" s="236"/>
      <c r="AC35" s="236"/>
      <c r="AD35" s="236"/>
      <c r="AE35" s="236"/>
      <c r="AF35" s="236"/>
      <c r="AG35" s="236"/>
      <c r="AH35" s="236"/>
      <c r="AI35" s="236"/>
      <c r="AJ35" s="236"/>
      <c r="AK35" s="236"/>
      <c r="AL35" s="236"/>
      <c r="AM35" s="236"/>
      <c r="AN35" s="236"/>
      <c r="AO35" s="236"/>
      <c r="AP35" s="236"/>
      <c r="AQ35" s="236"/>
      <c r="AR35" s="236"/>
      <c r="AS35" s="236"/>
      <c r="AT35" s="236"/>
      <c r="AU35" s="236"/>
      <c r="AV35" s="236"/>
      <c r="AW35" s="236"/>
      <c r="AX35" s="236"/>
      <c r="AY35" s="236"/>
      <c r="AZ35" s="236"/>
      <c r="BA35" s="236"/>
      <c r="BB35" s="236"/>
      <c r="BC35" s="236"/>
      <c r="BD35" s="236"/>
      <c r="BE35" s="236"/>
      <c r="BF35" s="236"/>
      <c r="BG35" s="236"/>
      <c r="BH35" s="236"/>
      <c r="BI35" s="236"/>
      <c r="BJ35" s="236"/>
      <c r="BK35" s="236"/>
      <c r="BL35" s="236"/>
      <c r="BM35" s="236"/>
    </row>
    <row r="36" spans="1:65" s="237" customFormat="1" ht="16.5" thickBot="1" x14ac:dyDescent="0.3">
      <c r="A36" s="18"/>
      <c r="B36" s="349" t="str">
        <f>IF($E36="N/A","",ProjectPlan!B35)</f>
        <v>2.2.4</v>
      </c>
      <c r="C36" s="350" t="str">
        <f>IF(E36="N/A","",ProjectPlan!C35)</f>
        <v>Integrate with Market Data (Internal, External, etc.)</v>
      </c>
      <c r="D36" s="344" t="str">
        <f>IF(E36="N/A", "",_xlfn.XLOOKUP(tbl_prj_schedu[[#This Row],[REF]],tbl_AssignRole[Ref],tbl_AssignRole[AssigRole]))</f>
        <v>Evelyn Hart-ARCH</v>
      </c>
      <c r="E36" s="345">
        <f>ProjectPlan!I35</f>
        <v>0</v>
      </c>
      <c r="F36" s="351">
        <f>IF(E36="N/A", "",ProjectPlan!E35)</f>
        <v>45740</v>
      </c>
      <c r="G36" s="351">
        <f>IF(E36="N/A", "",ProjectPlan!F35)</f>
        <v>45751</v>
      </c>
      <c r="H36" s="352">
        <f>IF($E36="N/A", "",INT((F36-Project_Start)/7) + 1)</f>
        <v>12</v>
      </c>
      <c r="I36" s="348">
        <f t="shared" si="4"/>
        <v>12</v>
      </c>
      <c r="J36" s="236"/>
      <c r="K36" s="236"/>
      <c r="L36" s="236"/>
      <c r="M36" s="236"/>
      <c r="N36" s="236"/>
      <c r="O36" s="236"/>
      <c r="P36" s="236"/>
      <c r="Q36" s="236"/>
      <c r="R36" s="236"/>
      <c r="S36" s="236"/>
      <c r="T36" s="236"/>
      <c r="U36" s="236"/>
      <c r="V36" s="236"/>
      <c r="W36" s="236"/>
      <c r="X36" s="236"/>
      <c r="Y36" s="236"/>
      <c r="Z36" s="236"/>
      <c r="AA36" s="236"/>
      <c r="AB36" s="236"/>
      <c r="AC36" s="236"/>
      <c r="AD36" s="236"/>
      <c r="AE36" s="236"/>
      <c r="AF36" s="236"/>
      <c r="AG36" s="236"/>
      <c r="AH36" s="236"/>
      <c r="AI36" s="236"/>
      <c r="AJ36" s="236"/>
      <c r="AK36" s="236"/>
      <c r="AL36" s="236"/>
      <c r="AM36" s="236"/>
      <c r="AN36" s="236"/>
      <c r="AO36" s="236"/>
      <c r="AP36" s="236"/>
      <c r="AQ36" s="236"/>
      <c r="AR36" s="236"/>
      <c r="AS36" s="236"/>
      <c r="AT36" s="236"/>
      <c r="AU36" s="236"/>
      <c r="AV36" s="236"/>
      <c r="AW36" s="236"/>
      <c r="AX36" s="236"/>
      <c r="AY36" s="236"/>
      <c r="AZ36" s="236"/>
      <c r="BA36" s="236"/>
      <c r="BB36" s="236"/>
      <c r="BC36" s="236"/>
      <c r="BD36" s="236"/>
      <c r="BE36" s="236"/>
      <c r="BF36" s="236"/>
      <c r="BG36" s="236"/>
      <c r="BH36" s="236"/>
      <c r="BI36" s="236"/>
      <c r="BJ36" s="236"/>
      <c r="BK36" s="236"/>
      <c r="BL36" s="236"/>
      <c r="BM36" s="236"/>
    </row>
    <row r="37" spans="1:65" s="237" customFormat="1" ht="16.5" thickBot="1" x14ac:dyDescent="0.3">
      <c r="A37" s="18"/>
      <c r="B37" s="349" t="str">
        <f>IF($E37="N/A","",ProjectPlan!B36)</f>
        <v>2.2.5</v>
      </c>
      <c r="C37" s="350" t="str">
        <f>IF(E37="N/A","",ProjectPlan!C36)</f>
        <v>Document server dataflows and publish</v>
      </c>
      <c r="D37" s="344" t="str">
        <f>IF(E37="N/A", "",_xlfn.XLOOKUP(tbl_prj_schedu[[#This Row],[REF]],tbl_AssignRole[Ref],tbl_AssignRole[AssigRole]))</f>
        <v>Clara Bennett-PROD</v>
      </c>
      <c r="E37" s="345">
        <f>ProjectPlan!I36</f>
        <v>0</v>
      </c>
      <c r="F37" s="351">
        <f>IF(E37="N/A", "",ProjectPlan!E36)</f>
        <v>45740</v>
      </c>
      <c r="G37" s="351">
        <f>IF(E37="N/A", "",ProjectPlan!F36)</f>
        <v>45751</v>
      </c>
      <c r="H37" s="352">
        <f>IF($E37="N/A", "",INT((F37-Project_Start)/7) + 1)</f>
        <v>12</v>
      </c>
      <c r="I37" s="348">
        <f t="shared" si="4"/>
        <v>12</v>
      </c>
      <c r="J37" s="236"/>
      <c r="K37" s="236"/>
      <c r="L37" s="236"/>
      <c r="M37" s="236"/>
      <c r="N37" s="236"/>
      <c r="O37" s="236"/>
      <c r="P37" s="236"/>
      <c r="Q37" s="236"/>
      <c r="R37" s="236"/>
      <c r="S37" s="236"/>
      <c r="T37" s="236"/>
      <c r="U37" s="236"/>
      <c r="V37" s="236"/>
      <c r="W37" s="236"/>
      <c r="X37" s="236"/>
      <c r="Y37" s="236"/>
      <c r="Z37" s="236"/>
      <c r="AA37" s="236"/>
      <c r="AB37" s="236"/>
      <c r="AC37" s="236"/>
      <c r="AD37" s="236"/>
      <c r="AE37" s="236"/>
      <c r="AF37" s="236"/>
      <c r="AG37" s="236"/>
      <c r="AH37" s="236"/>
      <c r="AI37" s="236"/>
      <c r="AJ37" s="236"/>
      <c r="AK37" s="236"/>
      <c r="AL37" s="236"/>
      <c r="AM37" s="236"/>
      <c r="AN37" s="236"/>
      <c r="AO37" s="236"/>
      <c r="AP37" s="236"/>
      <c r="AQ37" s="236"/>
      <c r="AR37" s="236"/>
      <c r="AS37" s="236"/>
      <c r="AT37" s="236"/>
      <c r="AU37" s="236"/>
      <c r="AV37" s="236"/>
      <c r="AW37" s="236"/>
      <c r="AX37" s="236"/>
      <c r="AY37" s="236"/>
      <c r="AZ37" s="236"/>
      <c r="BA37" s="236"/>
      <c r="BB37" s="236"/>
      <c r="BC37" s="236"/>
      <c r="BD37" s="236"/>
      <c r="BE37" s="236"/>
      <c r="BF37" s="236"/>
      <c r="BG37" s="236"/>
      <c r="BH37" s="236"/>
      <c r="BI37" s="236"/>
      <c r="BJ37" s="236"/>
      <c r="BK37" s="236"/>
      <c r="BL37" s="236"/>
      <c r="BM37" s="236"/>
    </row>
    <row r="38" spans="1:65" s="237" customFormat="1" ht="16.5" thickBot="1" x14ac:dyDescent="0.3">
      <c r="A38" s="18"/>
      <c r="B38" s="342" t="s">
        <v>129</v>
      </c>
      <c r="C38" s="343" t="str">
        <f>IF(ProjectPlan!C38&lt;&gt;"",ProjectPlan!C38,"")</f>
        <v>Plan GUI and Server-Side Testing</v>
      </c>
      <c r="D38" s="344"/>
      <c r="E38" s="345"/>
      <c r="F38" s="346"/>
      <c r="G38" s="347"/>
      <c r="H38" s="352"/>
      <c r="I38" s="348" t="str">
        <f t="shared" si="4"/>
        <v/>
      </c>
      <c r="J38" s="236"/>
      <c r="K38" s="236"/>
      <c r="L38" s="236"/>
      <c r="M38" s="236"/>
      <c r="N38" s="236"/>
      <c r="O38" s="236"/>
      <c r="P38" s="236"/>
      <c r="Q38" s="236"/>
      <c r="R38" s="236"/>
      <c r="S38" s="236"/>
      <c r="T38" s="236"/>
      <c r="U38" s="236"/>
      <c r="V38" s="236"/>
      <c r="W38" s="236"/>
      <c r="X38" s="236"/>
      <c r="Y38" s="236"/>
      <c r="Z38" s="236"/>
      <c r="AA38" s="236"/>
      <c r="AB38" s="236"/>
      <c r="AC38" s="236"/>
      <c r="AD38" s="236"/>
      <c r="AE38" s="236"/>
      <c r="AF38" s="236"/>
      <c r="AG38" s="236"/>
      <c r="AH38" s="236"/>
      <c r="AI38" s="236"/>
      <c r="AJ38" s="236"/>
      <c r="AK38" s="236"/>
      <c r="AL38" s="236"/>
      <c r="AM38" s="236"/>
      <c r="AN38" s="236"/>
      <c r="AO38" s="236"/>
      <c r="AP38" s="236"/>
      <c r="AQ38" s="236"/>
      <c r="AR38" s="236"/>
      <c r="AS38" s="236"/>
      <c r="AT38" s="236"/>
      <c r="AU38" s="236"/>
      <c r="AV38" s="236"/>
      <c r="AW38" s="236"/>
      <c r="AX38" s="236"/>
      <c r="AY38" s="236"/>
      <c r="AZ38" s="236"/>
      <c r="BA38" s="236"/>
      <c r="BB38" s="236"/>
      <c r="BC38" s="236"/>
      <c r="BD38" s="236"/>
      <c r="BE38" s="236"/>
      <c r="BF38" s="236"/>
      <c r="BG38" s="236"/>
      <c r="BH38" s="236"/>
      <c r="BI38" s="236"/>
      <c r="BJ38" s="236"/>
      <c r="BK38" s="236"/>
      <c r="BL38" s="236"/>
      <c r="BM38" s="236"/>
    </row>
    <row r="39" spans="1:65" s="237" customFormat="1" ht="16.5" thickBot="1" x14ac:dyDescent="0.3">
      <c r="A39" s="18"/>
      <c r="B39" s="349" t="str">
        <f>IF($E39="N/A", "",ProjectPlan!B39)</f>
        <v>2.3.1</v>
      </c>
      <c r="C39" s="350" t="str">
        <f>IF($E39="N/A", "",ProjectPlan!C39)</f>
        <v>Plan and Document Tests for the Backend Server</v>
      </c>
      <c r="D39" s="344" t="str">
        <f>IF(E39="N/A", "",_xlfn.XLOOKUP(tbl_prj_schedu[[#This Row],[REF]],tbl_AssignRole[Ref],tbl_AssignRole[AssigRole]))</f>
        <v>Adam Kowalski-SERD</v>
      </c>
      <c r="E39" s="345">
        <f>ProjectPlan!I39</f>
        <v>0</v>
      </c>
      <c r="F39" s="351">
        <f>IF(E39="N/A", "",ProjectPlan!E39)</f>
        <v>45754</v>
      </c>
      <c r="G39" s="351">
        <f>IF(E39="N/A", "",ProjectPlan!F39)</f>
        <v>45758</v>
      </c>
      <c r="H39" s="352">
        <f>IF($E39="N/A", "",INT((F39-Project_Start)/7) + 1)</f>
        <v>14</v>
      </c>
      <c r="I39" s="348">
        <f t="shared" si="4"/>
        <v>5</v>
      </c>
      <c r="J39" s="236"/>
      <c r="K39" s="236"/>
      <c r="L39" s="236"/>
      <c r="M39" s="236"/>
      <c r="N39" s="236"/>
      <c r="O39" s="236"/>
      <c r="P39" s="236"/>
      <c r="Q39" s="236"/>
      <c r="R39" s="236"/>
      <c r="S39" s="236"/>
      <c r="T39" s="236"/>
      <c r="U39" s="236"/>
      <c r="V39" s="236"/>
      <c r="W39" s="236"/>
      <c r="X39" s="236"/>
      <c r="Y39" s="236"/>
      <c r="Z39" s="236"/>
      <c r="AA39" s="236"/>
      <c r="AB39" s="236"/>
      <c r="AC39" s="236"/>
      <c r="AD39" s="236"/>
      <c r="AE39" s="236"/>
      <c r="AF39" s="236"/>
      <c r="AG39" s="236"/>
      <c r="AH39" s="236"/>
      <c r="AI39" s="236"/>
      <c r="AJ39" s="236"/>
      <c r="AK39" s="236"/>
      <c r="AL39" s="236"/>
      <c r="AM39" s="236"/>
      <c r="AN39" s="236"/>
      <c r="AO39" s="236"/>
      <c r="AP39" s="236"/>
      <c r="AQ39" s="236"/>
      <c r="AR39" s="236"/>
      <c r="AS39" s="236"/>
      <c r="AT39" s="236"/>
      <c r="AU39" s="236"/>
      <c r="AV39" s="236"/>
      <c r="AW39" s="236"/>
      <c r="AX39" s="236"/>
      <c r="AY39" s="236"/>
      <c r="AZ39" s="236"/>
      <c r="BA39" s="236"/>
      <c r="BB39" s="236"/>
      <c r="BC39" s="236"/>
      <c r="BD39" s="236"/>
      <c r="BE39" s="236"/>
      <c r="BF39" s="236"/>
      <c r="BG39" s="236"/>
      <c r="BH39" s="236"/>
      <c r="BI39" s="236"/>
      <c r="BJ39" s="236"/>
      <c r="BK39" s="236"/>
      <c r="BL39" s="236"/>
      <c r="BM39" s="236"/>
    </row>
    <row r="40" spans="1:65" s="237" customFormat="1" ht="16.5" thickBot="1" x14ac:dyDescent="0.3">
      <c r="A40" s="18"/>
      <c r="B40" s="349" t="str">
        <f>IF($E40="N/A", "",ProjectPlan!B40)</f>
        <v>2.3.2</v>
      </c>
      <c r="C40" s="350" t="str">
        <f>IF(E40="N/A", "",ProjectPlan!C40)</f>
        <v>Document Unit Tests for Electronic Messaging</v>
      </c>
      <c r="D40" s="344" t="str">
        <f>IF(E40="N/A", "",_xlfn.XLOOKUP(tbl_prj_schedu[[#This Row],[REF]],tbl_AssignRole[Ref],tbl_AssignRole[AssigRole]))</f>
        <v>Hannah Fletcher-TECL</v>
      </c>
      <c r="E40" s="345">
        <f>ProjectPlan!I40</f>
        <v>0</v>
      </c>
      <c r="F40" s="351">
        <f>IF(E40="N/A", "",ProjectPlan!E40)</f>
        <v>45754</v>
      </c>
      <c r="G40" s="351">
        <f>IF(E40="N/A", "",ProjectPlan!F40)</f>
        <v>45758</v>
      </c>
      <c r="H40" s="352">
        <f>IF($E40="N/A", "",INT((F40-Project_Start)/7) + 1)</f>
        <v>14</v>
      </c>
      <c r="I40" s="348">
        <f t="shared" si="4"/>
        <v>5</v>
      </c>
      <c r="J40" s="236"/>
      <c r="K40" s="236"/>
      <c r="L40" s="236"/>
      <c r="M40" s="236"/>
      <c r="N40" s="236"/>
      <c r="O40" s="236"/>
      <c r="P40" s="236"/>
      <c r="Q40" s="236"/>
      <c r="R40" s="236"/>
      <c r="S40" s="236"/>
      <c r="T40" s="236"/>
      <c r="U40" s="236"/>
      <c r="V40" s="236"/>
      <c r="W40" s="236"/>
      <c r="X40" s="236"/>
      <c r="Y40" s="236"/>
      <c r="Z40" s="236"/>
      <c r="AA40" s="236"/>
      <c r="AB40" s="236"/>
      <c r="AC40" s="236"/>
      <c r="AD40" s="236"/>
      <c r="AE40" s="236"/>
      <c r="AF40" s="236"/>
      <c r="AG40" s="236"/>
      <c r="AH40" s="236"/>
      <c r="AI40" s="236"/>
      <c r="AJ40" s="236"/>
      <c r="AK40" s="236"/>
      <c r="AL40" s="236"/>
      <c r="AM40" s="236"/>
      <c r="AN40" s="236"/>
      <c r="AO40" s="236"/>
      <c r="AP40" s="236"/>
      <c r="AQ40" s="236"/>
      <c r="AR40" s="236"/>
      <c r="AS40" s="236"/>
      <c r="AT40" s="236"/>
      <c r="AU40" s="236"/>
      <c r="AV40" s="236"/>
      <c r="AW40" s="236"/>
      <c r="AX40" s="236"/>
      <c r="AY40" s="236"/>
      <c r="AZ40" s="236"/>
      <c r="BA40" s="236"/>
      <c r="BB40" s="236"/>
      <c r="BC40" s="236"/>
      <c r="BD40" s="236"/>
      <c r="BE40" s="236"/>
      <c r="BF40" s="236"/>
      <c r="BG40" s="236"/>
      <c r="BH40" s="236"/>
      <c r="BI40" s="236"/>
      <c r="BJ40" s="236"/>
      <c r="BK40" s="236"/>
      <c r="BL40" s="236"/>
      <c r="BM40" s="236"/>
    </row>
    <row r="41" spans="1:65" s="237" customFormat="1" ht="16.5" thickBot="1" x14ac:dyDescent="0.3">
      <c r="A41" s="18"/>
      <c r="B41" s="349" t="str">
        <f>IF($E41="N/A", "",ProjectPlan!B41)</f>
        <v>2.3.3</v>
      </c>
      <c r="C41" s="350" t="str">
        <f>IF(E41="N/A", "",ProjectPlan!C41)</f>
        <v>Document Unit Tests for the Frontend</v>
      </c>
      <c r="D41" s="344" t="str">
        <f>IF(E41="N/A", "",_xlfn.XLOOKUP(tbl_prj_schedu[[#This Row],[REF]],tbl_AssignRole[Ref],tbl_AssignRole[AssigRole]))</f>
        <v>Evelyn Hart-ARCH</v>
      </c>
      <c r="E41" s="345">
        <f>ProjectPlan!I41</f>
        <v>0</v>
      </c>
      <c r="F41" s="351">
        <f>IF(E41="N/A", "",ProjectPlan!E41)</f>
        <v>45754</v>
      </c>
      <c r="G41" s="351">
        <f>IF(E41="N/A", "",ProjectPlan!F41)</f>
        <v>45758</v>
      </c>
      <c r="H41" s="352">
        <f>IF($E41="N/A", "",INT((F41-Project_Start)/7) + 1)</f>
        <v>14</v>
      </c>
      <c r="I41" s="348">
        <f t="shared" ref="I41:I72" si="5">IF(OR(ISBLANK(task_start), ISBLANK(task_end)), "", IF(E41="N/A", 0, task_end-task_start+1))</f>
        <v>5</v>
      </c>
      <c r="J41" s="236"/>
      <c r="K41" s="236"/>
      <c r="L41" s="236"/>
      <c r="M41" s="236"/>
      <c r="N41" s="236"/>
      <c r="O41" s="236"/>
      <c r="P41" s="236"/>
      <c r="Q41" s="236"/>
      <c r="R41" s="236"/>
      <c r="S41" s="236"/>
      <c r="T41" s="236"/>
      <c r="U41" s="236"/>
      <c r="V41" s="236"/>
      <c r="W41" s="236"/>
      <c r="X41" s="236"/>
      <c r="Y41" s="236"/>
      <c r="Z41" s="236"/>
      <c r="AA41" s="236"/>
      <c r="AB41" s="236"/>
      <c r="AC41" s="236"/>
      <c r="AD41" s="236"/>
      <c r="AE41" s="236"/>
      <c r="AF41" s="236"/>
      <c r="AG41" s="236"/>
      <c r="AH41" s="236"/>
      <c r="AI41" s="236"/>
      <c r="AJ41" s="236"/>
      <c r="AK41" s="236"/>
      <c r="AL41" s="236"/>
      <c r="AM41" s="236"/>
      <c r="AN41" s="236"/>
      <c r="AO41" s="236"/>
      <c r="AP41" s="236"/>
      <c r="AQ41" s="236"/>
      <c r="AR41" s="236"/>
      <c r="AS41" s="236"/>
      <c r="AT41" s="236"/>
      <c r="AU41" s="236"/>
      <c r="AV41" s="236"/>
      <c r="AW41" s="236"/>
      <c r="AX41" s="236"/>
      <c r="AY41" s="236"/>
      <c r="AZ41" s="236"/>
      <c r="BA41" s="236"/>
      <c r="BB41" s="236"/>
      <c r="BC41" s="236"/>
      <c r="BD41" s="236"/>
      <c r="BE41" s="236"/>
      <c r="BF41" s="236"/>
      <c r="BG41" s="236"/>
      <c r="BH41" s="236"/>
      <c r="BI41" s="236"/>
      <c r="BJ41" s="236"/>
      <c r="BK41" s="236"/>
      <c r="BL41" s="236"/>
      <c r="BM41" s="236"/>
    </row>
    <row r="42" spans="1:65" s="237" customFormat="1" ht="16.5" thickBot="1" x14ac:dyDescent="0.3">
      <c r="A42" s="18"/>
      <c r="B42" s="349" t="str">
        <f>IF($E42="N/A", "",ProjectPlan!B42)</f>
        <v>2.3.4</v>
      </c>
      <c r="C42" s="350" t="str">
        <f>IF(E42="N/A", "",ProjectPlan!C42)</f>
        <v>Document Tests for All Data Requirements</v>
      </c>
      <c r="D42" s="344" t="str">
        <f>IF(E42="N/A", "",_xlfn.XLOOKUP(tbl_prj_schedu[[#This Row],[REF]],tbl_AssignRole[Ref],tbl_AssignRole[AssigRole]))</f>
        <v>Priya Sharma-DBDE</v>
      </c>
      <c r="E42" s="345">
        <f>ProjectPlan!I42</f>
        <v>0</v>
      </c>
      <c r="F42" s="351">
        <f>IF(E42="N/A", "",ProjectPlan!E42)</f>
        <v>45754</v>
      </c>
      <c r="G42" s="351">
        <f>IF(E42="N/A", "",ProjectPlan!F42)</f>
        <v>45758</v>
      </c>
      <c r="H42" s="352">
        <f>IF($E42="N/A", "",INT((F42-Project_Start)/7) + 1)</f>
        <v>14</v>
      </c>
      <c r="I42" s="348">
        <f t="shared" si="5"/>
        <v>5</v>
      </c>
      <c r="J42" s="236"/>
      <c r="K42" s="236"/>
      <c r="L42" s="236"/>
      <c r="M42" s="236"/>
      <c r="N42" s="236"/>
      <c r="O42" s="236"/>
      <c r="P42" s="236"/>
      <c r="Q42" s="236"/>
      <c r="R42" s="236"/>
      <c r="S42" s="236"/>
      <c r="T42" s="236"/>
      <c r="U42" s="236"/>
      <c r="V42" s="236"/>
      <c r="W42" s="236"/>
      <c r="X42" s="236"/>
      <c r="Y42" s="236"/>
      <c r="Z42" s="236"/>
      <c r="AA42" s="236"/>
      <c r="AB42" s="236"/>
      <c r="AC42" s="236"/>
      <c r="AD42" s="236"/>
      <c r="AE42" s="236"/>
      <c r="AF42" s="236"/>
      <c r="AG42" s="236"/>
      <c r="AH42" s="236"/>
      <c r="AI42" s="236"/>
      <c r="AJ42" s="236"/>
      <c r="AK42" s="236"/>
      <c r="AL42" s="236"/>
      <c r="AM42" s="236"/>
      <c r="AN42" s="236"/>
      <c r="AO42" s="236"/>
      <c r="AP42" s="236"/>
      <c r="AQ42" s="236"/>
      <c r="AR42" s="236"/>
      <c r="AS42" s="236"/>
      <c r="AT42" s="236"/>
      <c r="AU42" s="236"/>
      <c r="AV42" s="236"/>
      <c r="AW42" s="236"/>
      <c r="AX42" s="236"/>
      <c r="AY42" s="236"/>
      <c r="AZ42" s="236"/>
      <c r="BA42" s="236"/>
      <c r="BB42" s="236"/>
      <c r="BC42" s="236"/>
      <c r="BD42" s="236"/>
      <c r="BE42" s="236"/>
      <c r="BF42" s="236"/>
      <c r="BG42" s="236"/>
      <c r="BH42" s="236"/>
      <c r="BI42" s="236"/>
      <c r="BJ42" s="236"/>
      <c r="BK42" s="236"/>
      <c r="BL42" s="236"/>
      <c r="BM42" s="236"/>
    </row>
    <row r="43" spans="1:65" s="237" customFormat="1" ht="16.5" thickBot="1" x14ac:dyDescent="0.3">
      <c r="A43" s="18"/>
      <c r="B43" s="349" t="str">
        <f>IF($E43="N/A", "",ProjectPlan!B43)</f>
        <v>2.3.5</v>
      </c>
      <c r="C43" s="350" t="str">
        <f>IF(E43="N/A", "",ProjectPlan!C43)</f>
        <v>Document Performance and Usability Metrics</v>
      </c>
      <c r="D43" s="344" t="str">
        <f>IF(E43="N/A", "",_xlfn.XLOOKUP(tbl_prj_schedu[[#This Row],[REF]],tbl_AssignRole[Ref],tbl_AssignRole[AssigRole]))</f>
        <v>Liam Gardner-PERL</v>
      </c>
      <c r="E43" s="345">
        <f>ProjectPlan!I43</f>
        <v>0</v>
      </c>
      <c r="F43" s="351">
        <f>IF(E43="N/A", "",ProjectPlan!E43)</f>
        <v>45754</v>
      </c>
      <c r="G43" s="351">
        <f>IF(E43="N/A", "",ProjectPlan!F43)</f>
        <v>45758</v>
      </c>
      <c r="H43" s="352">
        <f>IF($E43="N/A", "",INT((F43-Project_Start)/7) + 1)</f>
        <v>14</v>
      </c>
      <c r="I43" s="348">
        <f t="shared" si="5"/>
        <v>5</v>
      </c>
      <c r="J43" s="236"/>
      <c r="K43" s="236"/>
      <c r="L43" s="236"/>
      <c r="M43" s="236"/>
      <c r="N43" s="236"/>
      <c r="O43" s="236"/>
      <c r="P43" s="236"/>
      <c r="Q43" s="236"/>
      <c r="R43" s="236"/>
      <c r="S43" s="236"/>
      <c r="T43" s="236"/>
      <c r="U43" s="236"/>
      <c r="V43" s="236"/>
      <c r="W43" s="236"/>
      <c r="X43" s="236"/>
      <c r="Y43" s="236"/>
      <c r="Z43" s="236"/>
      <c r="AA43" s="236"/>
      <c r="AB43" s="236"/>
      <c r="AC43" s="236"/>
      <c r="AD43" s="236"/>
      <c r="AE43" s="236"/>
      <c r="AF43" s="236"/>
      <c r="AG43" s="236"/>
      <c r="AH43" s="236"/>
      <c r="AI43" s="236"/>
      <c r="AJ43" s="236"/>
      <c r="AK43" s="236"/>
      <c r="AL43" s="236"/>
      <c r="AM43" s="236"/>
      <c r="AN43" s="236"/>
      <c r="AO43" s="236"/>
      <c r="AP43" s="236"/>
      <c r="AQ43" s="236"/>
      <c r="AR43" s="236"/>
      <c r="AS43" s="236"/>
      <c r="AT43" s="236"/>
      <c r="AU43" s="236"/>
      <c r="AV43" s="236"/>
      <c r="AW43" s="236"/>
      <c r="AX43" s="236"/>
      <c r="AY43" s="236"/>
      <c r="AZ43" s="236"/>
      <c r="BA43" s="236"/>
      <c r="BB43" s="236"/>
      <c r="BC43" s="236"/>
      <c r="BD43" s="236"/>
      <c r="BE43" s="236"/>
      <c r="BF43" s="236"/>
      <c r="BG43" s="236"/>
      <c r="BH43" s="236"/>
      <c r="BI43" s="236"/>
      <c r="BJ43" s="236"/>
      <c r="BK43" s="236"/>
      <c r="BL43" s="236"/>
      <c r="BM43" s="236"/>
    </row>
    <row r="44" spans="1:65" s="237" customFormat="1" ht="16.5" thickBot="1" x14ac:dyDescent="0.3">
      <c r="A44" s="18"/>
      <c r="B44" s="342" t="s">
        <v>129</v>
      </c>
      <c r="C44" s="343" t="str">
        <f>IF(ProjectPlan!C45&lt;&gt;"",ProjectPlan!C45,"")</f>
        <v>Development Plan</v>
      </c>
      <c r="D44" s="344"/>
      <c r="E44" s="345"/>
      <c r="F44" s="346"/>
      <c r="G44" s="347"/>
      <c r="H44" s="352"/>
      <c r="I44" s="348" t="str">
        <f t="shared" si="5"/>
        <v/>
      </c>
      <c r="J44" s="236"/>
      <c r="K44" s="236"/>
      <c r="L44" s="236"/>
      <c r="M44" s="236"/>
      <c r="N44" s="236"/>
      <c r="O44" s="236"/>
      <c r="P44" s="236"/>
      <c r="Q44" s="236"/>
      <c r="R44" s="236"/>
      <c r="S44" s="236"/>
      <c r="T44" s="236"/>
      <c r="U44" s="236"/>
      <c r="V44" s="236"/>
      <c r="W44" s="236"/>
      <c r="X44" s="236"/>
      <c r="Y44" s="236"/>
      <c r="Z44" s="236"/>
      <c r="AA44" s="236"/>
      <c r="AB44" s="236"/>
      <c r="AC44" s="236"/>
      <c r="AD44" s="236"/>
      <c r="AE44" s="236"/>
      <c r="AF44" s="236"/>
      <c r="AG44" s="236"/>
      <c r="AH44" s="236"/>
      <c r="AI44" s="236"/>
      <c r="AJ44" s="236"/>
      <c r="AK44" s="236"/>
      <c r="AL44" s="236"/>
      <c r="AM44" s="236"/>
      <c r="AN44" s="236"/>
      <c r="AO44" s="236"/>
      <c r="AP44" s="236"/>
      <c r="AQ44" s="236"/>
      <c r="AR44" s="236"/>
      <c r="AS44" s="236"/>
      <c r="AT44" s="236"/>
      <c r="AU44" s="236"/>
      <c r="AV44" s="236"/>
      <c r="AW44" s="236"/>
      <c r="AX44" s="236"/>
      <c r="AY44" s="236"/>
      <c r="AZ44" s="236"/>
      <c r="BA44" s="236"/>
      <c r="BB44" s="236"/>
      <c r="BC44" s="236"/>
      <c r="BD44" s="236"/>
      <c r="BE44" s="236"/>
      <c r="BF44" s="236"/>
      <c r="BG44" s="236"/>
      <c r="BH44" s="236"/>
      <c r="BI44" s="236"/>
      <c r="BJ44" s="236"/>
      <c r="BK44" s="236"/>
      <c r="BL44" s="236"/>
      <c r="BM44" s="236"/>
    </row>
    <row r="45" spans="1:65" s="237" customFormat="1" ht="16.5" thickBot="1" x14ac:dyDescent="0.3">
      <c r="A45" s="18"/>
      <c r="B45" s="349" t="str">
        <f>IF($E45="N/A", "",ProjectPlan!B46)</f>
        <v>3.1.1</v>
      </c>
      <c r="C45" s="350" t="str">
        <f>IF($E45="N/A", "",ProjectPlan!C46)</f>
        <v>Develop/Update the Test Plan</v>
      </c>
      <c r="D45" s="344" t="str">
        <f>IF(E45="N/A", "",_xlfn.XLOOKUP(tbl_prj_schedu[[#This Row],[REF]],tbl_AssignRole[Ref],tbl_AssignRole[AssigRole]))</f>
        <v>Hannah Fletcher-TECL</v>
      </c>
      <c r="E45" s="345">
        <f>ProjectPlan!I46</f>
        <v>0</v>
      </c>
      <c r="F45" s="351">
        <f>IF(E45="N/A", "",ProjectPlan!E46)</f>
        <v>45761</v>
      </c>
      <c r="G45" s="351">
        <f>IF(E45="N/A", "",ProjectPlan!F46)</f>
        <v>45761</v>
      </c>
      <c r="H45" s="352">
        <f>IF($E45="N/A", "",INT((F45-Project_Start)/7) + 1)</f>
        <v>15</v>
      </c>
      <c r="I45" s="348">
        <f t="shared" si="5"/>
        <v>1</v>
      </c>
      <c r="J45" s="236"/>
      <c r="K45" s="236"/>
      <c r="L45" s="236"/>
      <c r="M45" s="236"/>
      <c r="N45" s="236"/>
      <c r="O45" s="236"/>
      <c r="P45" s="236"/>
      <c r="Q45" s="236"/>
      <c r="R45" s="236"/>
      <c r="S45" s="236"/>
      <c r="T45" s="236"/>
      <c r="U45" s="236"/>
      <c r="V45" s="236"/>
      <c r="W45" s="236"/>
      <c r="X45" s="236"/>
      <c r="Y45" s="236"/>
      <c r="Z45" s="236"/>
      <c r="AA45" s="236"/>
      <c r="AB45" s="236"/>
      <c r="AC45" s="236"/>
      <c r="AD45" s="236"/>
      <c r="AE45" s="236"/>
      <c r="AF45" s="236"/>
      <c r="AG45" s="236"/>
      <c r="AH45" s="236"/>
      <c r="AI45" s="236"/>
      <c r="AJ45" s="236"/>
      <c r="AK45" s="236"/>
      <c r="AL45" s="236"/>
      <c r="AM45" s="236"/>
      <c r="AN45" s="236"/>
      <c r="AO45" s="236"/>
      <c r="AP45" s="236"/>
      <c r="AQ45" s="236"/>
      <c r="AR45" s="236"/>
      <c r="AS45" s="236"/>
      <c r="AT45" s="236"/>
      <c r="AU45" s="236"/>
      <c r="AV45" s="236"/>
      <c r="AW45" s="236"/>
      <c r="AX45" s="236"/>
      <c r="AY45" s="236"/>
      <c r="AZ45" s="236"/>
      <c r="BA45" s="236"/>
      <c r="BB45" s="236"/>
      <c r="BC45" s="236"/>
      <c r="BD45" s="236"/>
      <c r="BE45" s="236"/>
      <c r="BF45" s="236"/>
      <c r="BG45" s="236"/>
      <c r="BH45" s="236"/>
      <c r="BI45" s="236"/>
      <c r="BJ45" s="236"/>
      <c r="BK45" s="236"/>
      <c r="BL45" s="236"/>
      <c r="BM45" s="236"/>
    </row>
    <row r="46" spans="1:65" s="237" customFormat="1" ht="16.5" thickBot="1" x14ac:dyDescent="0.3">
      <c r="A46" s="18"/>
      <c r="B46" s="349" t="str">
        <f>IF($E46="N/A", "",ProjectPlan!B47)</f>
        <v>3.1.2</v>
      </c>
      <c r="C46" s="350" t="str">
        <f>IF(E46="N/A", "",ProjectPlan!C47)</f>
        <v>Execute Tests</v>
      </c>
      <c r="D46" s="344" t="str">
        <f>IF(E46="N/A", "",_xlfn.XLOOKUP(tbl_prj_schedu[[#This Row],[REF]],tbl_AssignRole[Ref],tbl_AssignRole[AssigRole]))</f>
        <v>Alex Parker-TEST</v>
      </c>
      <c r="E46" s="345">
        <f>ProjectPlan!I47</f>
        <v>0</v>
      </c>
      <c r="F46" s="351">
        <f>IF(E46="N/A", "",ProjectPlan!E47)</f>
        <v>45761</v>
      </c>
      <c r="G46" s="351">
        <f>IF(E46="N/A", "",ProjectPlan!F47)</f>
        <v>45761</v>
      </c>
      <c r="H46" s="352">
        <f>IF($E46="N/A", "",INT((F46-Project_Start)/7) + 1)</f>
        <v>15</v>
      </c>
      <c r="I46" s="348">
        <f t="shared" si="5"/>
        <v>1</v>
      </c>
      <c r="J46" s="236"/>
      <c r="K46" s="236"/>
      <c r="L46" s="236"/>
      <c r="M46" s="236"/>
      <c r="N46" s="236"/>
      <c r="O46" s="236"/>
      <c r="P46" s="236"/>
      <c r="Q46" s="236"/>
      <c r="R46" s="236"/>
      <c r="S46" s="236"/>
      <c r="T46" s="236"/>
      <c r="U46" s="236"/>
      <c r="V46" s="236"/>
      <c r="W46" s="236"/>
      <c r="X46" s="236"/>
      <c r="Y46" s="236"/>
      <c r="Z46" s="236"/>
      <c r="AA46" s="236"/>
      <c r="AB46" s="236"/>
      <c r="AC46" s="236"/>
      <c r="AD46" s="236"/>
      <c r="AE46" s="236"/>
      <c r="AF46" s="236"/>
      <c r="AG46" s="236"/>
      <c r="AH46" s="236"/>
      <c r="AI46" s="236"/>
      <c r="AJ46" s="236"/>
      <c r="AK46" s="236"/>
      <c r="AL46" s="236"/>
      <c r="AM46" s="236"/>
      <c r="AN46" s="236"/>
      <c r="AO46" s="236"/>
      <c r="AP46" s="236"/>
      <c r="AQ46" s="236"/>
      <c r="AR46" s="236"/>
      <c r="AS46" s="236"/>
      <c r="AT46" s="236"/>
      <c r="AU46" s="236"/>
      <c r="AV46" s="236"/>
      <c r="AW46" s="236"/>
      <c r="AX46" s="236"/>
      <c r="AY46" s="236"/>
      <c r="AZ46" s="236"/>
      <c r="BA46" s="236"/>
      <c r="BB46" s="236"/>
      <c r="BC46" s="236"/>
      <c r="BD46" s="236"/>
      <c r="BE46" s="236"/>
      <c r="BF46" s="236"/>
      <c r="BG46" s="236"/>
      <c r="BH46" s="236"/>
      <c r="BI46" s="236"/>
      <c r="BJ46" s="236"/>
      <c r="BK46" s="236"/>
      <c r="BL46" s="236"/>
      <c r="BM46" s="236"/>
    </row>
    <row r="47" spans="1:65" s="237" customFormat="1" ht="16.5" thickBot="1" x14ac:dyDescent="0.3">
      <c r="A47" s="18"/>
      <c r="B47" s="349" t="str">
        <f>IF($E47="N/A", "",ProjectPlan!B48)</f>
        <v>3.1.3</v>
      </c>
      <c r="C47" s="350" t="str">
        <f>IF(E47="N/A", "",ProjectPlan!C48)</f>
        <v>Log Bugs and Update Documents</v>
      </c>
      <c r="D47" s="344" t="str">
        <f>IF(E47="N/A", "",_xlfn.XLOOKUP(tbl_prj_schedu[[#This Row],[REF]],tbl_AssignRole[Ref],tbl_AssignRole[AssigRole]))</f>
        <v>Hannah Fletcher-TECL</v>
      </c>
      <c r="E47" s="345">
        <f>ProjectPlan!I48</f>
        <v>0</v>
      </c>
      <c r="F47" s="351">
        <f>IF(E47="N/A", "",ProjectPlan!E48)</f>
        <v>45761</v>
      </c>
      <c r="G47" s="351">
        <f>IF(E47="N/A", "",ProjectPlan!F48)</f>
        <v>45761</v>
      </c>
      <c r="H47" s="352">
        <f>IF($E47="N/A", "",INT((F47-Project_Start)/7) + 1)</f>
        <v>15</v>
      </c>
      <c r="I47" s="348">
        <f t="shared" si="5"/>
        <v>1</v>
      </c>
      <c r="J47" s="236"/>
      <c r="K47" s="236"/>
      <c r="L47" s="236"/>
      <c r="M47" s="236"/>
      <c r="N47" s="236"/>
      <c r="O47" s="236"/>
      <c r="P47" s="236"/>
      <c r="Q47" s="236"/>
      <c r="R47" s="236"/>
      <c r="S47" s="236"/>
      <c r="T47" s="236"/>
      <c r="U47" s="236"/>
      <c r="V47" s="236"/>
      <c r="W47" s="236"/>
      <c r="X47" s="236"/>
      <c r="Y47" s="236"/>
      <c r="Z47" s="236"/>
      <c r="AA47" s="236"/>
      <c r="AB47" s="236"/>
      <c r="AC47" s="236"/>
      <c r="AD47" s="236"/>
      <c r="AE47" s="236"/>
      <c r="AF47" s="236"/>
      <c r="AG47" s="236"/>
      <c r="AH47" s="236"/>
      <c r="AI47" s="236"/>
      <c r="AJ47" s="236"/>
      <c r="AK47" s="236"/>
      <c r="AL47" s="236"/>
      <c r="AM47" s="236"/>
      <c r="AN47" s="236"/>
      <c r="AO47" s="236"/>
      <c r="AP47" s="236"/>
      <c r="AQ47" s="236"/>
      <c r="AR47" s="236"/>
      <c r="AS47" s="236"/>
      <c r="AT47" s="236"/>
      <c r="AU47" s="236"/>
      <c r="AV47" s="236"/>
      <c r="AW47" s="236"/>
      <c r="AX47" s="236"/>
      <c r="AY47" s="236"/>
      <c r="AZ47" s="236"/>
      <c r="BA47" s="236"/>
      <c r="BB47" s="236"/>
      <c r="BC47" s="236"/>
      <c r="BD47" s="236"/>
      <c r="BE47" s="236"/>
      <c r="BF47" s="236"/>
      <c r="BG47" s="236"/>
      <c r="BH47" s="236"/>
      <c r="BI47" s="236"/>
      <c r="BJ47" s="236"/>
      <c r="BK47" s="236"/>
      <c r="BL47" s="236"/>
      <c r="BM47" s="236"/>
    </row>
    <row r="48" spans="1:65" s="237" customFormat="1" ht="16.5" thickBot="1" x14ac:dyDescent="0.3">
      <c r="A48" s="18"/>
      <c r="B48" s="349" t="str">
        <f>IF($E48="N/A", "",ProjectPlan!B49)</f>
        <v>3.1.4</v>
      </c>
      <c r="C48" s="350" t="str">
        <f>IF(E48="N/A", "",ProjectPlan!C49)</f>
        <v>Conduct System Reliability and Performance Testing</v>
      </c>
      <c r="D48" s="344" t="str">
        <f>IF(E48="N/A", "",_xlfn.XLOOKUP(tbl_prj_schedu[[#This Row],[REF]],tbl_AssignRole[Ref],tbl_AssignRole[AssigRole]))</f>
        <v>Liam Gardner-PERL</v>
      </c>
      <c r="E48" s="345">
        <f>ProjectPlan!I49</f>
        <v>0</v>
      </c>
      <c r="F48" s="351">
        <f>IF(E48="N/A", "",ProjectPlan!E49)</f>
        <v>45761</v>
      </c>
      <c r="G48" s="351">
        <f>IF(E48="N/A", "",ProjectPlan!F49)</f>
        <v>45761</v>
      </c>
      <c r="H48" s="352">
        <f>IF($E48="N/A", "",INT((F48-Project_Start)/7) + 1)</f>
        <v>15</v>
      </c>
      <c r="I48" s="348">
        <f t="shared" si="5"/>
        <v>1</v>
      </c>
      <c r="J48" s="236"/>
      <c r="K48" s="236"/>
      <c r="L48" s="236"/>
      <c r="M48" s="236"/>
      <c r="N48" s="236"/>
      <c r="O48" s="236"/>
      <c r="P48" s="236"/>
      <c r="Q48" s="236"/>
      <c r="R48" s="236"/>
      <c r="S48" s="236"/>
      <c r="T48" s="236"/>
      <c r="U48" s="236"/>
      <c r="V48" s="236"/>
      <c r="W48" s="236"/>
      <c r="X48" s="236"/>
      <c r="Y48" s="236"/>
      <c r="Z48" s="236"/>
      <c r="AA48" s="236"/>
      <c r="AB48" s="236"/>
      <c r="AC48" s="236"/>
      <c r="AD48" s="236"/>
      <c r="AE48" s="236"/>
      <c r="AF48" s="236"/>
      <c r="AG48" s="236"/>
      <c r="AH48" s="236"/>
      <c r="AI48" s="236"/>
      <c r="AJ48" s="236"/>
      <c r="AK48" s="236"/>
      <c r="AL48" s="236"/>
      <c r="AM48" s="236"/>
      <c r="AN48" s="236"/>
      <c r="AO48" s="236"/>
      <c r="AP48" s="236"/>
      <c r="AQ48" s="236"/>
      <c r="AR48" s="236"/>
      <c r="AS48" s="236"/>
      <c r="AT48" s="236"/>
      <c r="AU48" s="236"/>
      <c r="AV48" s="236"/>
      <c r="AW48" s="236"/>
      <c r="AX48" s="236"/>
      <c r="AY48" s="236"/>
      <c r="AZ48" s="236"/>
      <c r="BA48" s="236"/>
      <c r="BB48" s="236"/>
      <c r="BC48" s="236"/>
      <c r="BD48" s="236"/>
      <c r="BE48" s="236"/>
      <c r="BF48" s="236"/>
      <c r="BG48" s="236"/>
      <c r="BH48" s="236"/>
      <c r="BI48" s="236"/>
      <c r="BJ48" s="236"/>
      <c r="BK48" s="236"/>
      <c r="BL48" s="236"/>
      <c r="BM48" s="236"/>
    </row>
    <row r="49" spans="1:65" s="237" customFormat="1" ht="16.5" thickBot="1" x14ac:dyDescent="0.3">
      <c r="A49" s="18"/>
      <c r="B49" s="349" t="str">
        <f>IF($E49="N/A", "",ProjectPlan!B50)</f>
        <v>3.1.5</v>
      </c>
      <c r="C49" s="350" t="str">
        <f>IF(E49="N/A", "",ProjectPlan!C50)</f>
        <v>Obtain Product Management and Senior Stakeholder Sign-Off</v>
      </c>
      <c r="D49" s="344" t="str">
        <f>IF(E49="N/A", "",_xlfn.XLOOKUP(tbl_prj_schedu[[#This Row],[REF]],tbl_AssignRole[Ref],tbl_AssignRole[AssigRole]))</f>
        <v>Clara Bennett-PROD</v>
      </c>
      <c r="E49" s="345">
        <f>ProjectPlan!I50</f>
        <v>0</v>
      </c>
      <c r="F49" s="351">
        <f>IF(E49="N/A", "",ProjectPlan!E50)</f>
        <v>45761</v>
      </c>
      <c r="G49" s="351">
        <f>IF(E49="N/A", "",ProjectPlan!F50)</f>
        <v>45761</v>
      </c>
      <c r="H49" s="352">
        <f>IF($E49="N/A", "",INT((F49-Project_Start)/7) + 1)</f>
        <v>15</v>
      </c>
      <c r="I49" s="348">
        <f t="shared" si="5"/>
        <v>1</v>
      </c>
      <c r="J49" s="236"/>
      <c r="K49" s="236"/>
      <c r="L49" s="236"/>
      <c r="M49" s="236"/>
      <c r="N49" s="236"/>
      <c r="O49" s="236"/>
      <c r="P49" s="236"/>
      <c r="Q49" s="236"/>
      <c r="R49" s="236"/>
      <c r="S49" s="236"/>
      <c r="T49" s="236"/>
      <c r="U49" s="236"/>
      <c r="V49" s="236"/>
      <c r="W49" s="236"/>
      <c r="X49" s="236"/>
      <c r="Y49" s="236"/>
      <c r="Z49" s="236"/>
      <c r="AA49" s="236"/>
      <c r="AB49" s="236"/>
      <c r="AC49" s="236"/>
      <c r="AD49" s="236"/>
      <c r="AE49" s="236"/>
      <c r="AF49" s="236"/>
      <c r="AG49" s="236"/>
      <c r="AH49" s="236"/>
      <c r="AI49" s="236"/>
      <c r="AJ49" s="236"/>
      <c r="AK49" s="236"/>
      <c r="AL49" s="236"/>
      <c r="AM49" s="236"/>
      <c r="AN49" s="236"/>
      <c r="AO49" s="236"/>
      <c r="AP49" s="236"/>
      <c r="AQ49" s="236"/>
      <c r="AR49" s="236"/>
      <c r="AS49" s="236"/>
      <c r="AT49" s="236"/>
      <c r="AU49" s="236"/>
      <c r="AV49" s="236"/>
      <c r="AW49" s="236"/>
      <c r="AX49" s="236"/>
      <c r="AY49" s="236"/>
      <c r="AZ49" s="236"/>
      <c r="BA49" s="236"/>
      <c r="BB49" s="236"/>
      <c r="BC49" s="236"/>
      <c r="BD49" s="236"/>
      <c r="BE49" s="236"/>
      <c r="BF49" s="236"/>
      <c r="BG49" s="236"/>
      <c r="BH49" s="236"/>
      <c r="BI49" s="236"/>
      <c r="BJ49" s="236"/>
      <c r="BK49" s="236"/>
      <c r="BL49" s="236"/>
      <c r="BM49" s="236"/>
    </row>
    <row r="50" spans="1:65" s="237" customFormat="1" ht="16.5" thickBot="1" x14ac:dyDescent="0.3">
      <c r="A50" s="18"/>
      <c r="B50" s="342" t="s">
        <v>129</v>
      </c>
      <c r="C50" s="343" t="str">
        <f>IF(ProjectPlan!C52&lt;&gt;"",ProjectPlan!C52,"")</f>
        <v>Phase 1 Development</v>
      </c>
      <c r="D50" s="344"/>
      <c r="E50" s="345"/>
      <c r="F50" s="346"/>
      <c r="G50" s="347"/>
      <c r="H50" s="352"/>
      <c r="I50" s="348" t="str">
        <f t="shared" si="5"/>
        <v/>
      </c>
      <c r="J50" s="236"/>
      <c r="K50" s="236"/>
      <c r="L50" s="236"/>
      <c r="M50" s="236"/>
      <c r="N50" s="236"/>
      <c r="O50" s="236"/>
      <c r="P50" s="236"/>
      <c r="Q50" s="236"/>
      <c r="R50" s="236"/>
      <c r="S50" s="236"/>
      <c r="T50" s="236"/>
      <c r="U50" s="236"/>
      <c r="V50" s="236"/>
      <c r="W50" s="236"/>
      <c r="X50" s="236"/>
      <c r="Y50" s="236"/>
      <c r="Z50" s="236"/>
      <c r="AA50" s="236"/>
      <c r="AB50" s="236"/>
      <c r="AC50" s="236"/>
      <c r="AD50" s="236"/>
      <c r="AE50" s="236"/>
      <c r="AF50" s="236"/>
      <c r="AG50" s="236"/>
      <c r="AH50" s="236"/>
      <c r="AI50" s="236"/>
      <c r="AJ50" s="236"/>
      <c r="AK50" s="236"/>
      <c r="AL50" s="236"/>
      <c r="AM50" s="236"/>
      <c r="AN50" s="236"/>
      <c r="AO50" s="236"/>
      <c r="AP50" s="236"/>
      <c r="AQ50" s="236"/>
      <c r="AR50" s="236"/>
      <c r="AS50" s="236"/>
      <c r="AT50" s="236"/>
      <c r="AU50" s="236"/>
      <c r="AV50" s="236"/>
      <c r="AW50" s="236"/>
      <c r="AX50" s="236"/>
      <c r="AY50" s="236"/>
      <c r="AZ50" s="236"/>
      <c r="BA50" s="236"/>
      <c r="BB50" s="236"/>
      <c r="BC50" s="236"/>
      <c r="BD50" s="236"/>
      <c r="BE50" s="236"/>
      <c r="BF50" s="236"/>
      <c r="BG50" s="236"/>
      <c r="BH50" s="236"/>
      <c r="BI50" s="236"/>
      <c r="BJ50" s="236"/>
      <c r="BK50" s="236"/>
      <c r="BL50" s="236"/>
      <c r="BM50" s="236"/>
    </row>
    <row r="51" spans="1:65" s="237" customFormat="1" ht="16.5" thickBot="1" x14ac:dyDescent="0.3">
      <c r="A51" s="18"/>
      <c r="B51" s="349" t="str">
        <f>IF($E51="N/A", "",ProjectPlan!B53)</f>
        <v>4.1.1</v>
      </c>
      <c r="C51" s="350" t="str">
        <f>IF($E51="N/A", "",ProjectPlan!C53)</f>
        <v>Server Components</v>
      </c>
      <c r="D51" s="344" t="str">
        <f>IF(E51="N/A", "",_xlfn.XLOOKUP(tbl_prj_schedu[[#This Row],[REF]],tbl_AssignRole[Ref],tbl_AssignRole[AssigRole]))</f>
        <v>Max Patel-SERD</v>
      </c>
      <c r="E51" s="345">
        <f>ProjectPlan!I53</f>
        <v>0</v>
      </c>
      <c r="F51" s="351">
        <f>IF(E51="N/A", "",ProjectPlan!E53)</f>
        <v>45761</v>
      </c>
      <c r="G51" s="351">
        <f>IF(E51="N/A", "",ProjectPlan!F53)</f>
        <v>45776</v>
      </c>
      <c r="H51" s="352">
        <f>IF($E51="N/A", "",INT((F51-Project_Start)/7) + 1)</f>
        <v>15</v>
      </c>
      <c r="I51" s="348">
        <f t="shared" si="5"/>
        <v>16</v>
      </c>
      <c r="J51" s="236"/>
      <c r="K51" s="236"/>
      <c r="L51" s="236"/>
      <c r="M51" s="236"/>
      <c r="N51" s="236"/>
      <c r="O51" s="236"/>
      <c r="P51" s="236"/>
      <c r="Q51" s="236"/>
      <c r="R51" s="236"/>
      <c r="S51" s="236"/>
      <c r="T51" s="236"/>
      <c r="U51" s="236"/>
      <c r="V51" s="236"/>
      <c r="W51" s="236"/>
      <c r="X51" s="236"/>
      <c r="Y51" s="236"/>
      <c r="Z51" s="236"/>
      <c r="AA51" s="236"/>
      <c r="AB51" s="236"/>
      <c r="AC51" s="236"/>
      <c r="AD51" s="236"/>
      <c r="AE51" s="236"/>
      <c r="AF51" s="236"/>
      <c r="AG51" s="236"/>
      <c r="AH51" s="236"/>
      <c r="AI51" s="236"/>
      <c r="AJ51" s="236"/>
      <c r="AK51" s="236"/>
      <c r="AL51" s="236"/>
      <c r="AM51" s="236"/>
      <c r="AN51" s="236"/>
      <c r="AO51" s="236"/>
      <c r="AP51" s="236"/>
      <c r="AQ51" s="236"/>
      <c r="AR51" s="236"/>
      <c r="AS51" s="236"/>
      <c r="AT51" s="236"/>
      <c r="AU51" s="236"/>
      <c r="AV51" s="236"/>
      <c r="AW51" s="236"/>
      <c r="AX51" s="236"/>
      <c r="AY51" s="236"/>
      <c r="AZ51" s="236"/>
      <c r="BA51" s="236"/>
      <c r="BB51" s="236"/>
      <c r="BC51" s="236"/>
      <c r="BD51" s="236"/>
      <c r="BE51" s="236"/>
      <c r="BF51" s="236"/>
      <c r="BG51" s="236"/>
      <c r="BH51" s="236"/>
      <c r="BI51" s="236"/>
      <c r="BJ51" s="236"/>
      <c r="BK51" s="236"/>
      <c r="BL51" s="236"/>
      <c r="BM51" s="236"/>
    </row>
    <row r="52" spans="1:65" s="237" customFormat="1" ht="16.5" thickBot="1" x14ac:dyDescent="0.3">
      <c r="A52" s="18"/>
      <c r="B52" s="349" t="str">
        <f>IF($E52="N/A", "",ProjectPlan!B54)</f>
        <v>4.1.2</v>
      </c>
      <c r="C52" s="350" t="str">
        <f>IF(E52="N/A", "",ProjectPlan!C54)</f>
        <v>Frontend</v>
      </c>
      <c r="D52" s="344" t="str">
        <f>IF(E52="N/A", "",_xlfn.XLOOKUP(tbl_prj_schedu[[#This Row],[REF]],tbl_AssignRole[Ref],tbl_AssignRole[AssigRole]))</f>
        <v>Olivia Brooks-FROD</v>
      </c>
      <c r="E52" s="345">
        <f>ProjectPlan!I54</f>
        <v>0</v>
      </c>
      <c r="F52" s="351">
        <f>IF(E52="N/A", "",ProjectPlan!E54)</f>
        <v>45761</v>
      </c>
      <c r="G52" s="351">
        <f>IF(E52="N/A", "",ProjectPlan!F54)</f>
        <v>45769</v>
      </c>
      <c r="H52" s="352">
        <f>IF($E52="N/A", "",INT((F52-Project_Start)/7) + 1)</f>
        <v>15</v>
      </c>
      <c r="I52" s="348">
        <f t="shared" si="5"/>
        <v>9</v>
      </c>
      <c r="J52" s="236"/>
      <c r="K52" s="236"/>
      <c r="L52" s="236"/>
      <c r="M52" s="236"/>
      <c r="N52" s="236"/>
      <c r="O52" s="236"/>
      <c r="P52" s="236"/>
      <c r="Q52" s="236"/>
      <c r="R52" s="236"/>
      <c r="S52" s="236"/>
      <c r="T52" s="236"/>
      <c r="U52" s="236"/>
      <c r="V52" s="236"/>
      <c r="W52" s="236"/>
      <c r="X52" s="236"/>
      <c r="Y52" s="236"/>
      <c r="Z52" s="236"/>
      <c r="AA52" s="236"/>
      <c r="AB52" s="236"/>
      <c r="AC52" s="236"/>
      <c r="AD52" s="236"/>
      <c r="AE52" s="236"/>
      <c r="AF52" s="236"/>
      <c r="AG52" s="236"/>
      <c r="AH52" s="236"/>
      <c r="AI52" s="236"/>
      <c r="AJ52" s="236"/>
      <c r="AK52" s="236"/>
      <c r="AL52" s="236"/>
      <c r="AM52" s="236"/>
      <c r="AN52" s="236"/>
      <c r="AO52" s="236"/>
      <c r="AP52" s="236"/>
      <c r="AQ52" s="236"/>
      <c r="AR52" s="236"/>
      <c r="AS52" s="236"/>
      <c r="AT52" s="236"/>
      <c r="AU52" s="236"/>
      <c r="AV52" s="236"/>
      <c r="AW52" s="236"/>
      <c r="AX52" s="236"/>
      <c r="AY52" s="236"/>
      <c r="AZ52" s="236"/>
      <c r="BA52" s="236"/>
      <c r="BB52" s="236"/>
      <c r="BC52" s="236"/>
      <c r="BD52" s="236"/>
      <c r="BE52" s="236"/>
      <c r="BF52" s="236"/>
      <c r="BG52" s="236"/>
      <c r="BH52" s="236"/>
      <c r="BI52" s="236"/>
      <c r="BJ52" s="236"/>
      <c r="BK52" s="236"/>
      <c r="BL52" s="236"/>
      <c r="BM52" s="236"/>
    </row>
    <row r="53" spans="1:65" s="237" customFormat="1" ht="16.5" thickBot="1" x14ac:dyDescent="0.3">
      <c r="A53" s="18"/>
      <c r="B53" s="349" t="str">
        <f>IF($E53="N/A", "",ProjectPlan!B55)</f>
        <v>4.1.3</v>
      </c>
      <c r="C53" s="350" t="str">
        <f>IF(E53="N/A", "",ProjectPlan!C55)</f>
        <v>Database</v>
      </c>
      <c r="D53" s="344" t="str">
        <f>IF(E53="N/A", "",_xlfn.XLOOKUP(tbl_prj_schedu[[#This Row],[REF]],tbl_AssignRole[Ref],tbl_AssignRole[AssigRole]))</f>
        <v>Priya Sharma-DBDE</v>
      </c>
      <c r="E53" s="345">
        <f>ProjectPlan!I55</f>
        <v>0</v>
      </c>
      <c r="F53" s="351">
        <f>IF(E53="N/A", "",ProjectPlan!E55)</f>
        <v>45761</v>
      </c>
      <c r="G53" s="351">
        <f>IF(E53="N/A", "",ProjectPlan!F55)</f>
        <v>45776</v>
      </c>
      <c r="H53" s="352">
        <f>IF($E53="N/A", "",INT((F53-Project_Start)/7) + 1)</f>
        <v>15</v>
      </c>
      <c r="I53" s="348">
        <f t="shared" si="5"/>
        <v>16</v>
      </c>
      <c r="J53" s="236"/>
      <c r="K53" s="236"/>
      <c r="L53" s="236"/>
      <c r="M53" s="236"/>
      <c r="N53" s="236"/>
      <c r="O53" s="236"/>
      <c r="P53" s="236"/>
      <c r="Q53" s="236"/>
      <c r="R53" s="236"/>
      <c r="S53" s="236"/>
      <c r="T53" s="236"/>
      <c r="U53" s="236"/>
      <c r="V53" s="236"/>
      <c r="W53" s="236"/>
      <c r="X53" s="236"/>
      <c r="Y53" s="236"/>
      <c r="Z53" s="236"/>
      <c r="AA53" s="236"/>
      <c r="AB53" s="236"/>
      <c r="AC53" s="236"/>
      <c r="AD53" s="236"/>
      <c r="AE53" s="236"/>
      <c r="AF53" s="236"/>
      <c r="AG53" s="236"/>
      <c r="AH53" s="236"/>
      <c r="AI53" s="236"/>
      <c r="AJ53" s="236"/>
      <c r="AK53" s="236"/>
      <c r="AL53" s="236"/>
      <c r="AM53" s="236"/>
      <c r="AN53" s="236"/>
      <c r="AO53" s="236"/>
      <c r="AP53" s="236"/>
      <c r="AQ53" s="236"/>
      <c r="AR53" s="236"/>
      <c r="AS53" s="236"/>
      <c r="AT53" s="236"/>
      <c r="AU53" s="236"/>
      <c r="AV53" s="236"/>
      <c r="AW53" s="236"/>
      <c r="AX53" s="236"/>
      <c r="AY53" s="236"/>
      <c r="AZ53" s="236"/>
      <c r="BA53" s="236"/>
      <c r="BB53" s="236"/>
      <c r="BC53" s="236"/>
      <c r="BD53" s="236"/>
      <c r="BE53" s="236"/>
      <c r="BF53" s="236"/>
      <c r="BG53" s="236"/>
      <c r="BH53" s="236"/>
      <c r="BI53" s="236"/>
      <c r="BJ53" s="236"/>
      <c r="BK53" s="236"/>
      <c r="BL53" s="236"/>
      <c r="BM53" s="236"/>
    </row>
    <row r="54" spans="1:65" s="237" customFormat="1" ht="16.5" thickBot="1" x14ac:dyDescent="0.3">
      <c r="A54" s="18"/>
      <c r="B54" s="349" t="str">
        <f>IF($E54="N/A", "",ProjectPlan!B56)</f>
        <v>4.1.4</v>
      </c>
      <c r="C54" s="350" t="str">
        <f>IF(E54="N/A", "",ProjectPlan!C56)</f>
        <v>Testing</v>
      </c>
      <c r="D54" s="344" t="str">
        <f>IF(E54="N/A", "",_xlfn.XLOOKUP(tbl_prj_schedu[[#This Row],[REF]],tbl_AssignRole[Ref],tbl_AssignRole[AssigRole]))</f>
        <v>Ryan Carter-TEST</v>
      </c>
      <c r="E54" s="345">
        <f>ProjectPlan!I56</f>
        <v>0</v>
      </c>
      <c r="F54" s="351">
        <f>IF(E54="N/A", "",ProjectPlan!E56)</f>
        <v>45762</v>
      </c>
      <c r="G54" s="351">
        <f>IF(E54="N/A", "",ProjectPlan!F56)</f>
        <v>45777</v>
      </c>
      <c r="H54" s="352">
        <f>IF($E54="N/A", "",INT((F54-Project_Start)/7) + 1)</f>
        <v>15</v>
      </c>
      <c r="I54" s="348">
        <f t="shared" si="5"/>
        <v>16</v>
      </c>
      <c r="J54" s="236"/>
      <c r="K54" s="236"/>
      <c r="L54" s="236"/>
      <c r="M54" s="236"/>
      <c r="N54" s="236"/>
      <c r="O54" s="236"/>
      <c r="P54" s="236"/>
      <c r="Q54" s="236"/>
      <c r="R54" s="236"/>
      <c r="S54" s="236"/>
      <c r="T54" s="236"/>
      <c r="U54" s="236"/>
      <c r="V54" s="236"/>
      <c r="W54" s="236"/>
      <c r="X54" s="236"/>
      <c r="Y54" s="236"/>
      <c r="Z54" s="236"/>
      <c r="AA54" s="236"/>
      <c r="AB54" s="236"/>
      <c r="AC54" s="236"/>
      <c r="AD54" s="236"/>
      <c r="AE54" s="236"/>
      <c r="AF54" s="236"/>
      <c r="AG54" s="236"/>
      <c r="AH54" s="236"/>
      <c r="AI54" s="236"/>
      <c r="AJ54" s="236"/>
      <c r="AK54" s="236"/>
      <c r="AL54" s="236"/>
      <c r="AM54" s="236"/>
      <c r="AN54" s="236"/>
      <c r="AO54" s="236"/>
      <c r="AP54" s="236"/>
      <c r="AQ54" s="236"/>
      <c r="AR54" s="236"/>
      <c r="AS54" s="236"/>
      <c r="AT54" s="236"/>
      <c r="AU54" s="236"/>
      <c r="AV54" s="236"/>
      <c r="AW54" s="236"/>
      <c r="AX54" s="236"/>
      <c r="AY54" s="236"/>
      <c r="AZ54" s="236"/>
      <c r="BA54" s="236"/>
      <c r="BB54" s="236"/>
      <c r="BC54" s="236"/>
      <c r="BD54" s="236"/>
      <c r="BE54" s="236"/>
      <c r="BF54" s="236"/>
      <c r="BG54" s="236"/>
      <c r="BH54" s="236"/>
      <c r="BI54" s="236"/>
      <c r="BJ54" s="236"/>
      <c r="BK54" s="236"/>
      <c r="BL54" s="236"/>
      <c r="BM54" s="236"/>
    </row>
    <row r="55" spans="1:65" s="237" customFormat="1" ht="16.5" thickBot="1" x14ac:dyDescent="0.3">
      <c r="A55" s="18"/>
      <c r="B55" s="349" t="str">
        <f>IF($E55="N/A", "",ProjectPlan!B57)</f>
        <v/>
      </c>
      <c r="C55" s="350" t="str">
        <f>IF(E55="N/A", "",ProjectPlan!C57)</f>
        <v/>
      </c>
      <c r="D55" s="344" t="str">
        <f>IF(E55="N/A", "",_xlfn.XLOOKUP(tbl_prj_schedu[[#This Row],[REF]],tbl_AssignRole[Ref],tbl_AssignRole[AssigRole]))</f>
        <v/>
      </c>
      <c r="E55" s="345" t="str">
        <f>ProjectPlan!I57</f>
        <v>N/A</v>
      </c>
      <c r="F55" s="351" t="str">
        <f>IF(E55="N/A", "",ProjectPlan!E57)</f>
        <v/>
      </c>
      <c r="G55" s="351" t="str">
        <f>IF(E55="N/A", "",ProjectPlan!F57)</f>
        <v/>
      </c>
      <c r="H55" s="352" t="str">
        <f>IF($E55="N/A", "",INT((F55-Project_Start)/7) + 1)</f>
        <v/>
      </c>
      <c r="I55" s="348">
        <f t="shared" si="5"/>
        <v>0</v>
      </c>
      <c r="J55" s="236"/>
      <c r="K55" s="236"/>
      <c r="L55" s="236"/>
      <c r="M55" s="236"/>
      <c r="N55" s="236"/>
      <c r="O55" s="236"/>
      <c r="P55" s="236"/>
      <c r="Q55" s="236"/>
      <c r="R55" s="236"/>
      <c r="S55" s="236"/>
      <c r="T55" s="236"/>
      <c r="U55" s="236"/>
      <c r="V55" s="236"/>
      <c r="W55" s="236"/>
      <c r="X55" s="236"/>
      <c r="Y55" s="236"/>
      <c r="Z55" s="236"/>
      <c r="AA55" s="236"/>
      <c r="AB55" s="236"/>
      <c r="AC55" s="236"/>
      <c r="AD55" s="236"/>
      <c r="AE55" s="236"/>
      <c r="AF55" s="236"/>
      <c r="AG55" s="236"/>
      <c r="AH55" s="236"/>
      <c r="AI55" s="236"/>
      <c r="AJ55" s="236"/>
      <c r="AK55" s="236"/>
      <c r="AL55" s="236"/>
      <c r="AM55" s="236"/>
      <c r="AN55" s="236"/>
      <c r="AO55" s="236"/>
      <c r="AP55" s="236"/>
      <c r="AQ55" s="236"/>
      <c r="AR55" s="236"/>
      <c r="AS55" s="236"/>
      <c r="AT55" s="236"/>
      <c r="AU55" s="236"/>
      <c r="AV55" s="236"/>
      <c r="AW55" s="236"/>
      <c r="AX55" s="236"/>
      <c r="AY55" s="236"/>
      <c r="AZ55" s="236"/>
      <c r="BA55" s="236"/>
      <c r="BB55" s="236"/>
      <c r="BC55" s="236"/>
      <c r="BD55" s="236"/>
      <c r="BE55" s="236"/>
      <c r="BF55" s="236"/>
      <c r="BG55" s="236"/>
      <c r="BH55" s="236"/>
      <c r="BI55" s="236"/>
      <c r="BJ55" s="236"/>
      <c r="BK55" s="236"/>
      <c r="BL55" s="236"/>
      <c r="BM55" s="236"/>
    </row>
    <row r="56" spans="1:65" s="237" customFormat="1" ht="16.5" thickBot="1" x14ac:dyDescent="0.3">
      <c r="A56" s="18"/>
      <c r="B56" s="342" t="s">
        <v>129</v>
      </c>
      <c r="C56" s="343" t="str">
        <f>IF(ProjectPlan!C59&lt;&gt;"",ProjectPlan!C59,"")</f>
        <v>Phase 2 Deployment - UAT</v>
      </c>
      <c r="D56" s="344"/>
      <c r="E56" s="345"/>
      <c r="F56" s="346"/>
      <c r="G56" s="347"/>
      <c r="H56" s="352"/>
      <c r="I56" s="348" t="str">
        <f t="shared" si="5"/>
        <v/>
      </c>
      <c r="J56" s="236"/>
      <c r="K56" s="236"/>
      <c r="L56" s="236"/>
      <c r="M56" s="236"/>
      <c r="N56" s="236"/>
      <c r="O56" s="236"/>
      <c r="P56" s="236"/>
      <c r="Q56" s="236"/>
      <c r="R56" s="236"/>
      <c r="S56" s="236"/>
      <c r="T56" s="236"/>
      <c r="U56" s="236"/>
      <c r="V56" s="236"/>
      <c r="W56" s="236"/>
      <c r="X56" s="236"/>
      <c r="Y56" s="236"/>
      <c r="Z56" s="236"/>
      <c r="AA56" s="236"/>
      <c r="AB56" s="236"/>
      <c r="AC56" s="236"/>
      <c r="AD56" s="236"/>
      <c r="AE56" s="236"/>
      <c r="AF56" s="236"/>
      <c r="AG56" s="236"/>
      <c r="AH56" s="236"/>
      <c r="AI56" s="236"/>
      <c r="AJ56" s="236"/>
      <c r="AK56" s="236"/>
      <c r="AL56" s="236"/>
      <c r="AM56" s="236"/>
      <c r="AN56" s="236"/>
      <c r="AO56" s="236"/>
      <c r="AP56" s="236"/>
      <c r="AQ56" s="236"/>
      <c r="AR56" s="236"/>
      <c r="AS56" s="236"/>
      <c r="AT56" s="236"/>
      <c r="AU56" s="236"/>
      <c r="AV56" s="236"/>
      <c r="AW56" s="236"/>
      <c r="AX56" s="236"/>
      <c r="AY56" s="236"/>
      <c r="AZ56" s="236"/>
      <c r="BA56" s="236"/>
      <c r="BB56" s="236"/>
      <c r="BC56" s="236"/>
      <c r="BD56" s="236"/>
      <c r="BE56" s="236"/>
      <c r="BF56" s="236"/>
      <c r="BG56" s="236"/>
      <c r="BH56" s="236"/>
      <c r="BI56" s="236"/>
      <c r="BJ56" s="236"/>
      <c r="BK56" s="236"/>
      <c r="BL56" s="236"/>
      <c r="BM56" s="236"/>
    </row>
    <row r="57" spans="1:65" s="237" customFormat="1" ht="16.5" thickBot="1" x14ac:dyDescent="0.3">
      <c r="A57" s="18"/>
      <c r="B57" s="349" t="str">
        <f>IF($E57="N/A", "",ProjectPlan!B60)</f>
        <v>4.2.1</v>
      </c>
      <c r="C57" s="350" t="str">
        <f>IF($E57="N/A", "",ProjectPlan!C60)</f>
        <v>Full UAT deployment</v>
      </c>
      <c r="D57" s="344" t="str">
        <f>IF(E57="N/A", "",_xlfn.XLOOKUP(tbl_prj_schedu[[#This Row],[REF]],tbl_AssignRole[Ref],tbl_AssignRole[AssigRole]))</f>
        <v>Connor Reed-DEVO</v>
      </c>
      <c r="E57" s="345">
        <f>ProjectPlan!I60</f>
        <v>0</v>
      </c>
      <c r="F57" s="351">
        <f>IF(E57="N/A", "",ProjectPlan!E60)</f>
        <v>45762</v>
      </c>
      <c r="G57" s="351">
        <f>IF(E57="N/A", "",ProjectPlan!F60)</f>
        <v>45770</v>
      </c>
      <c r="H57" s="352">
        <f>IF($E57="N/A", "",INT((F57-Project_Start)/7) + 1)</f>
        <v>15</v>
      </c>
      <c r="I57" s="348">
        <f t="shared" si="5"/>
        <v>9</v>
      </c>
      <c r="J57" s="236"/>
      <c r="K57" s="236"/>
      <c r="L57" s="236"/>
      <c r="M57" s="236"/>
      <c r="N57" s="236"/>
      <c r="O57" s="236"/>
      <c r="P57" s="236"/>
      <c r="Q57" s="236"/>
      <c r="R57" s="236"/>
      <c r="S57" s="236"/>
      <c r="T57" s="236"/>
      <c r="U57" s="236"/>
      <c r="V57" s="236"/>
      <c r="W57" s="236"/>
      <c r="X57" s="236"/>
      <c r="Y57" s="236"/>
      <c r="Z57" s="236"/>
      <c r="AA57" s="236"/>
      <c r="AB57" s="236"/>
      <c r="AC57" s="236"/>
      <c r="AD57" s="236"/>
      <c r="AE57" s="236"/>
      <c r="AF57" s="236"/>
      <c r="AG57" s="236"/>
      <c r="AH57" s="236"/>
      <c r="AI57" s="236"/>
      <c r="AJ57" s="236"/>
      <c r="AK57" s="236"/>
      <c r="AL57" s="236"/>
      <c r="AM57" s="236"/>
      <c r="AN57" s="236"/>
      <c r="AO57" s="236"/>
      <c r="AP57" s="236"/>
      <c r="AQ57" s="236"/>
      <c r="AR57" s="236"/>
      <c r="AS57" s="236"/>
      <c r="AT57" s="236"/>
      <c r="AU57" s="236"/>
      <c r="AV57" s="236"/>
      <c r="AW57" s="236"/>
      <c r="AX57" s="236"/>
      <c r="AY57" s="236"/>
      <c r="AZ57" s="236"/>
      <c r="BA57" s="236"/>
      <c r="BB57" s="236"/>
      <c r="BC57" s="236"/>
      <c r="BD57" s="236"/>
      <c r="BE57" s="236"/>
      <c r="BF57" s="236"/>
      <c r="BG57" s="236"/>
      <c r="BH57" s="236"/>
      <c r="BI57" s="236"/>
      <c r="BJ57" s="236"/>
      <c r="BK57" s="236"/>
      <c r="BL57" s="236"/>
      <c r="BM57" s="236"/>
    </row>
    <row r="58" spans="1:65" s="237" customFormat="1" ht="16.5" thickBot="1" x14ac:dyDescent="0.3">
      <c r="A58" s="18"/>
      <c r="B58" s="349" t="str">
        <f>IF($E58="N/A", "",ProjectPlan!B61)</f>
        <v>4.2.2</v>
      </c>
      <c r="C58" s="350" t="str">
        <f>IF(E58="N/A", "",ProjectPlan!C61)</f>
        <v xml:space="preserve">UAT Sever </v>
      </c>
      <c r="D58" s="344" t="str">
        <f>IF(E58="N/A", "",_xlfn.XLOOKUP(tbl_prj_schedu[[#This Row],[REF]],tbl_AssignRole[Ref],tbl_AssignRole[AssigRole]))</f>
        <v>Max Patel-SERD</v>
      </c>
      <c r="E58" s="345">
        <f>ProjectPlan!I61</f>
        <v>0</v>
      </c>
      <c r="F58" s="351">
        <f>IF(E58="N/A", "",ProjectPlan!E61)</f>
        <v>45762</v>
      </c>
      <c r="G58" s="351">
        <f>IF(E58="N/A", "",ProjectPlan!F61)</f>
        <v>45764</v>
      </c>
      <c r="H58" s="352">
        <f>IF($E58="N/A", "",INT((F58-Project_Start)/7) + 1)</f>
        <v>15</v>
      </c>
      <c r="I58" s="348">
        <f t="shared" si="5"/>
        <v>3</v>
      </c>
      <c r="J58" s="236"/>
      <c r="K58" s="236"/>
      <c r="L58" s="236"/>
      <c r="M58" s="236"/>
      <c r="N58" s="236"/>
      <c r="O58" s="236"/>
      <c r="P58" s="236"/>
      <c r="Q58" s="236"/>
      <c r="R58" s="236"/>
      <c r="S58" s="236"/>
      <c r="T58" s="236"/>
      <c r="U58" s="236"/>
      <c r="V58" s="236"/>
      <c r="W58" s="236"/>
      <c r="X58" s="236"/>
      <c r="Y58" s="236"/>
      <c r="Z58" s="236"/>
      <c r="AA58" s="236"/>
      <c r="AB58" s="236"/>
      <c r="AC58" s="236"/>
      <c r="AD58" s="236"/>
      <c r="AE58" s="236"/>
      <c r="AF58" s="236"/>
      <c r="AG58" s="236"/>
      <c r="AH58" s="236"/>
      <c r="AI58" s="236"/>
      <c r="AJ58" s="236"/>
      <c r="AK58" s="236"/>
      <c r="AL58" s="236"/>
      <c r="AM58" s="236"/>
      <c r="AN58" s="236"/>
      <c r="AO58" s="236"/>
      <c r="AP58" s="236"/>
      <c r="AQ58" s="236"/>
      <c r="AR58" s="236"/>
      <c r="AS58" s="236"/>
      <c r="AT58" s="236"/>
      <c r="AU58" s="236"/>
      <c r="AV58" s="236"/>
      <c r="AW58" s="236"/>
      <c r="AX58" s="236"/>
      <c r="AY58" s="236"/>
      <c r="AZ58" s="236"/>
      <c r="BA58" s="236"/>
      <c r="BB58" s="236"/>
      <c r="BC58" s="236"/>
      <c r="BD58" s="236"/>
      <c r="BE58" s="236"/>
      <c r="BF58" s="236"/>
      <c r="BG58" s="236"/>
      <c r="BH58" s="236"/>
      <c r="BI58" s="236"/>
      <c r="BJ58" s="236"/>
      <c r="BK58" s="236"/>
      <c r="BL58" s="236"/>
      <c r="BM58" s="236"/>
    </row>
    <row r="59" spans="1:65" s="237" customFormat="1" ht="16.5" thickBot="1" x14ac:dyDescent="0.3">
      <c r="A59" s="18"/>
      <c r="B59" s="349" t="str">
        <f>IF($E59="N/A", "",ProjectPlan!B62)</f>
        <v>4.2.3</v>
      </c>
      <c r="C59" s="350" t="str">
        <f>IF(E59="N/A", "",ProjectPlan!C62)</f>
        <v>UAT Frontend</v>
      </c>
      <c r="D59" s="344" t="str">
        <f>IF(E59="N/A", "",_xlfn.XLOOKUP(tbl_prj_schedu[[#This Row],[REF]],tbl_AssignRole[Ref],tbl_AssignRole[AssigRole]))</f>
        <v>Hannah Fletcher-TECL</v>
      </c>
      <c r="E59" s="345">
        <f>ProjectPlan!I62</f>
        <v>0</v>
      </c>
      <c r="F59" s="351">
        <f>IF(E59="N/A", "",ProjectPlan!E62)</f>
        <v>45762</v>
      </c>
      <c r="G59" s="351">
        <f>IF(E59="N/A", "",ProjectPlan!F62)</f>
        <v>45764</v>
      </c>
      <c r="H59" s="352">
        <f>IF($E59="N/A", "",INT((F59-Project_Start)/7) + 1)</f>
        <v>15</v>
      </c>
      <c r="I59" s="348">
        <f t="shared" si="5"/>
        <v>3</v>
      </c>
      <c r="J59" s="236"/>
      <c r="K59" s="236"/>
      <c r="L59" s="236"/>
      <c r="M59" s="236"/>
      <c r="N59" s="236"/>
      <c r="O59" s="236"/>
      <c r="P59" s="236"/>
      <c r="Q59" s="236"/>
      <c r="R59" s="236"/>
      <c r="S59" s="236"/>
      <c r="T59" s="236"/>
      <c r="U59" s="236"/>
      <c r="V59" s="236"/>
      <c r="W59" s="236"/>
      <c r="X59" s="236"/>
      <c r="Y59" s="236"/>
      <c r="Z59" s="236"/>
      <c r="AA59" s="236"/>
      <c r="AB59" s="236"/>
      <c r="AC59" s="236"/>
      <c r="AD59" s="236"/>
      <c r="AE59" s="236"/>
      <c r="AF59" s="236"/>
      <c r="AG59" s="236"/>
      <c r="AH59" s="236"/>
      <c r="AI59" s="236"/>
      <c r="AJ59" s="236"/>
      <c r="AK59" s="236"/>
      <c r="AL59" s="236"/>
      <c r="AM59" s="236"/>
      <c r="AN59" s="236"/>
      <c r="AO59" s="236"/>
      <c r="AP59" s="236"/>
      <c r="AQ59" s="236"/>
      <c r="AR59" s="236"/>
      <c r="AS59" s="236"/>
      <c r="AT59" s="236"/>
      <c r="AU59" s="236"/>
      <c r="AV59" s="236"/>
      <c r="AW59" s="236"/>
      <c r="AX59" s="236"/>
      <c r="AY59" s="236"/>
      <c r="AZ59" s="236"/>
      <c r="BA59" s="236"/>
      <c r="BB59" s="236"/>
      <c r="BC59" s="236"/>
      <c r="BD59" s="236"/>
      <c r="BE59" s="236"/>
      <c r="BF59" s="236"/>
      <c r="BG59" s="236"/>
      <c r="BH59" s="236"/>
      <c r="BI59" s="236"/>
      <c r="BJ59" s="236"/>
      <c r="BK59" s="236"/>
      <c r="BL59" s="236"/>
      <c r="BM59" s="236"/>
    </row>
    <row r="60" spans="1:65" s="237" customFormat="1" ht="16.5" thickBot="1" x14ac:dyDescent="0.3">
      <c r="A60" s="18"/>
      <c r="B60" s="349" t="str">
        <f>IF($E60="N/A", "",ProjectPlan!B63)</f>
        <v>4.2.4</v>
      </c>
      <c r="C60" s="350" t="str">
        <f>IF(E60="N/A", "",ProjectPlan!C63)</f>
        <v>UAT Data</v>
      </c>
      <c r="D60" s="344" t="str">
        <f>IF(E60="N/A", "",_xlfn.XLOOKUP(tbl_prj_schedu[[#This Row],[REF]],tbl_AssignRole[Ref],tbl_AssignRole[AssigRole]))</f>
        <v>Priya Sharma-DBDE</v>
      </c>
      <c r="E60" s="345">
        <f>ProjectPlan!I63</f>
        <v>0</v>
      </c>
      <c r="F60" s="351">
        <f>IF(E60="N/A", "",ProjectPlan!E63)</f>
        <v>45762</v>
      </c>
      <c r="G60" s="351">
        <f>IF(E60="N/A", "",ProjectPlan!F63)</f>
        <v>45764</v>
      </c>
      <c r="H60" s="352">
        <f>IF($E60="N/A", "",INT((F60-Project_Start)/7) + 1)</f>
        <v>15</v>
      </c>
      <c r="I60" s="348">
        <f t="shared" si="5"/>
        <v>3</v>
      </c>
      <c r="J60" s="236"/>
      <c r="K60" s="236"/>
      <c r="L60" s="236"/>
      <c r="M60" s="236"/>
      <c r="N60" s="236"/>
      <c r="O60" s="236"/>
      <c r="P60" s="236"/>
      <c r="Q60" s="236"/>
      <c r="R60" s="236"/>
      <c r="S60" s="236"/>
      <c r="T60" s="236"/>
      <c r="U60" s="236"/>
      <c r="V60" s="236"/>
      <c r="W60" s="236"/>
      <c r="X60" s="236"/>
      <c r="Y60" s="236"/>
      <c r="Z60" s="236"/>
      <c r="AA60" s="236"/>
      <c r="AB60" s="236"/>
      <c r="AC60" s="236"/>
      <c r="AD60" s="236"/>
      <c r="AE60" s="236"/>
      <c r="AF60" s="236"/>
      <c r="AG60" s="236"/>
      <c r="AH60" s="236"/>
      <c r="AI60" s="236"/>
      <c r="AJ60" s="236"/>
      <c r="AK60" s="236"/>
      <c r="AL60" s="236"/>
      <c r="AM60" s="236"/>
      <c r="AN60" s="236"/>
      <c r="AO60" s="236"/>
      <c r="AP60" s="236"/>
      <c r="AQ60" s="236"/>
      <c r="AR60" s="236"/>
      <c r="AS60" s="236"/>
      <c r="AT60" s="236"/>
      <c r="AU60" s="236"/>
      <c r="AV60" s="236"/>
      <c r="AW60" s="236"/>
      <c r="AX60" s="236"/>
      <c r="AY60" s="236"/>
      <c r="AZ60" s="236"/>
      <c r="BA60" s="236"/>
      <c r="BB60" s="236"/>
      <c r="BC60" s="236"/>
      <c r="BD60" s="236"/>
      <c r="BE60" s="236"/>
      <c r="BF60" s="236"/>
      <c r="BG60" s="236"/>
      <c r="BH60" s="236"/>
      <c r="BI60" s="236"/>
      <c r="BJ60" s="236"/>
      <c r="BK60" s="236"/>
      <c r="BL60" s="236"/>
      <c r="BM60" s="236"/>
    </row>
    <row r="61" spans="1:65" s="237" customFormat="1" ht="16.5" thickBot="1" x14ac:dyDescent="0.3">
      <c r="A61" s="18"/>
      <c r="B61" s="349" t="str">
        <f>IF($E61="N/A", "",ProjectPlan!B64)</f>
        <v>4.2.5</v>
      </c>
      <c r="C61" s="350" t="str">
        <f>IF(E61="N/A", "",ProjectPlan!C64)</f>
        <v>UAT Performance</v>
      </c>
      <c r="D61" s="344" t="str">
        <f>IF(E61="N/A", "",_xlfn.XLOOKUP(tbl_prj_schedu[[#This Row],[REF]],tbl_AssignRole[Ref],tbl_AssignRole[AssigRole]))</f>
        <v>Liam Gardner-PERL</v>
      </c>
      <c r="E61" s="345">
        <f>ProjectPlan!I64</f>
        <v>0</v>
      </c>
      <c r="F61" s="351">
        <f>IF(E61="N/A", "",ProjectPlan!E64)</f>
        <v>45762</v>
      </c>
      <c r="G61" s="351">
        <f>IF(E61="N/A", "",ProjectPlan!F64)</f>
        <v>45764</v>
      </c>
      <c r="H61" s="352">
        <f>IF($E61="N/A", "",INT((F61-Project_Start)/7) + 1)</f>
        <v>15</v>
      </c>
      <c r="I61" s="348">
        <f t="shared" si="5"/>
        <v>3</v>
      </c>
      <c r="J61" s="236"/>
      <c r="K61" s="236"/>
      <c r="L61" s="236"/>
      <c r="M61" s="236"/>
      <c r="N61" s="236"/>
      <c r="O61" s="236"/>
      <c r="P61" s="236"/>
      <c r="Q61" s="236"/>
      <c r="R61" s="236"/>
      <c r="S61" s="236"/>
      <c r="T61" s="236"/>
      <c r="U61" s="236"/>
      <c r="V61" s="236"/>
      <c r="W61" s="236"/>
      <c r="X61" s="236"/>
      <c r="Y61" s="236"/>
      <c r="Z61" s="236"/>
      <c r="AA61" s="236"/>
      <c r="AB61" s="236"/>
      <c r="AC61" s="236"/>
      <c r="AD61" s="236"/>
      <c r="AE61" s="236"/>
      <c r="AF61" s="236"/>
      <c r="AG61" s="236"/>
      <c r="AH61" s="236"/>
      <c r="AI61" s="236"/>
      <c r="AJ61" s="236"/>
      <c r="AK61" s="236"/>
      <c r="AL61" s="236"/>
      <c r="AM61" s="236"/>
      <c r="AN61" s="236"/>
      <c r="AO61" s="236"/>
      <c r="AP61" s="236"/>
      <c r="AQ61" s="236"/>
      <c r="AR61" s="236"/>
      <c r="AS61" s="236"/>
      <c r="AT61" s="236"/>
      <c r="AU61" s="236"/>
      <c r="AV61" s="236"/>
      <c r="AW61" s="236"/>
      <c r="AX61" s="236"/>
      <c r="AY61" s="236"/>
      <c r="AZ61" s="236"/>
      <c r="BA61" s="236"/>
      <c r="BB61" s="236"/>
      <c r="BC61" s="236"/>
      <c r="BD61" s="236"/>
      <c r="BE61" s="236"/>
      <c r="BF61" s="236"/>
      <c r="BG61" s="236"/>
      <c r="BH61" s="236"/>
      <c r="BI61" s="236"/>
      <c r="BJ61" s="236"/>
      <c r="BK61" s="236"/>
      <c r="BL61" s="236"/>
      <c r="BM61" s="236"/>
    </row>
    <row r="62" spans="1:65" s="237" customFormat="1" ht="16.5" thickBot="1" x14ac:dyDescent="0.3">
      <c r="A62" s="18"/>
      <c r="B62" s="342" t="s">
        <v>129</v>
      </c>
      <c r="C62" s="343" t="str">
        <f>IF(ProjectPlan!C66&lt;&gt;"",ProjectPlan!C66,"")</f>
        <v>Phase 3 Deployment  - PROD</v>
      </c>
      <c r="D62" s="344"/>
      <c r="E62" s="345"/>
      <c r="F62" s="346"/>
      <c r="G62" s="347"/>
      <c r="H62" s="352"/>
      <c r="I62" s="348" t="str">
        <f t="shared" si="5"/>
        <v/>
      </c>
      <c r="J62" s="236"/>
      <c r="K62" s="236"/>
      <c r="L62" s="236"/>
      <c r="M62" s="236"/>
      <c r="N62" s="236"/>
      <c r="O62" s="236"/>
      <c r="P62" s="236"/>
      <c r="Q62" s="236"/>
      <c r="R62" s="236"/>
      <c r="S62" s="236"/>
      <c r="T62" s="236"/>
      <c r="U62" s="236"/>
      <c r="V62" s="236"/>
      <c r="W62" s="236"/>
      <c r="X62" s="236"/>
      <c r="Y62" s="236"/>
      <c r="Z62" s="236"/>
      <c r="AA62" s="236"/>
      <c r="AB62" s="236"/>
      <c r="AC62" s="236"/>
      <c r="AD62" s="236"/>
      <c r="AE62" s="236"/>
      <c r="AF62" s="236"/>
      <c r="AG62" s="236"/>
      <c r="AH62" s="236"/>
      <c r="AI62" s="236"/>
      <c r="AJ62" s="236"/>
      <c r="AK62" s="236"/>
      <c r="AL62" s="236"/>
      <c r="AM62" s="236"/>
      <c r="AN62" s="236"/>
      <c r="AO62" s="236"/>
      <c r="AP62" s="236"/>
      <c r="AQ62" s="236"/>
      <c r="AR62" s="236"/>
      <c r="AS62" s="236"/>
      <c r="AT62" s="236"/>
      <c r="AU62" s="236"/>
      <c r="AV62" s="236"/>
      <c r="AW62" s="236"/>
      <c r="AX62" s="236"/>
      <c r="AY62" s="236"/>
      <c r="AZ62" s="236"/>
      <c r="BA62" s="236"/>
      <c r="BB62" s="236"/>
      <c r="BC62" s="236"/>
      <c r="BD62" s="236"/>
      <c r="BE62" s="236"/>
      <c r="BF62" s="236"/>
      <c r="BG62" s="236"/>
      <c r="BH62" s="236"/>
      <c r="BI62" s="236"/>
      <c r="BJ62" s="236"/>
      <c r="BK62" s="236"/>
      <c r="BL62" s="236"/>
      <c r="BM62" s="236"/>
    </row>
    <row r="63" spans="1:65" s="237" customFormat="1" ht="16.5" thickBot="1" x14ac:dyDescent="0.3">
      <c r="A63" s="18"/>
      <c r="B63" s="349" t="str">
        <f>IF($E63="N/A", "",ProjectPlan!B67)</f>
        <v>4.3.1</v>
      </c>
      <c r="C63" s="350" t="str">
        <f>IF($E63="N/A", "",ProjectPlan!C67)</f>
        <v>Full PRE-PROD deployment</v>
      </c>
      <c r="D63" s="344" t="str">
        <f>IF(E63="N/A", "",_xlfn.XLOOKUP(tbl_prj_schedu[[#This Row],[REF]],tbl_AssignRole[Ref],tbl_AssignRole[AssigRole]))</f>
        <v>Connor Reed-DEVO</v>
      </c>
      <c r="E63" s="345">
        <f>ProjectPlan!I67</f>
        <v>0</v>
      </c>
      <c r="F63" s="351">
        <f>IF(E63="N/A", "",ProjectPlan!E67)</f>
        <v>45769</v>
      </c>
      <c r="G63" s="351">
        <f>IF(E63="N/A", "",ProjectPlan!F67)</f>
        <v>45771</v>
      </c>
      <c r="H63" s="352">
        <f>IF($E63="N/A", "",INT((F63-Project_Start)/7) + 1)</f>
        <v>16</v>
      </c>
      <c r="I63" s="348">
        <f t="shared" si="5"/>
        <v>3</v>
      </c>
      <c r="J63" s="236"/>
      <c r="K63" s="236"/>
      <c r="L63" s="236"/>
      <c r="M63" s="236"/>
      <c r="N63" s="236"/>
      <c r="O63" s="236"/>
      <c r="P63" s="236"/>
      <c r="Q63" s="236"/>
      <c r="R63" s="236"/>
      <c r="S63" s="236"/>
      <c r="T63" s="236"/>
      <c r="U63" s="236"/>
      <c r="V63" s="236"/>
      <c r="W63" s="236"/>
      <c r="X63" s="236"/>
      <c r="Y63" s="236"/>
      <c r="Z63" s="236"/>
      <c r="AA63" s="236"/>
      <c r="AB63" s="236"/>
      <c r="AC63" s="236"/>
      <c r="AD63" s="236"/>
      <c r="AE63" s="236"/>
      <c r="AF63" s="236"/>
      <c r="AG63" s="236"/>
      <c r="AH63" s="236"/>
      <c r="AI63" s="236"/>
      <c r="AJ63" s="236"/>
      <c r="AK63" s="236"/>
      <c r="AL63" s="236"/>
      <c r="AM63" s="236"/>
      <c r="AN63" s="236"/>
      <c r="AO63" s="236"/>
      <c r="AP63" s="236"/>
      <c r="AQ63" s="236"/>
      <c r="AR63" s="236"/>
      <c r="AS63" s="236"/>
      <c r="AT63" s="236"/>
      <c r="AU63" s="236"/>
      <c r="AV63" s="236"/>
      <c r="AW63" s="236"/>
      <c r="AX63" s="236"/>
      <c r="AY63" s="236"/>
      <c r="AZ63" s="236"/>
      <c r="BA63" s="236"/>
      <c r="BB63" s="236"/>
      <c r="BC63" s="236"/>
      <c r="BD63" s="236"/>
      <c r="BE63" s="236"/>
      <c r="BF63" s="236"/>
      <c r="BG63" s="236"/>
      <c r="BH63" s="236"/>
      <c r="BI63" s="236"/>
      <c r="BJ63" s="236"/>
      <c r="BK63" s="236"/>
      <c r="BL63" s="236"/>
      <c r="BM63" s="236"/>
    </row>
    <row r="64" spans="1:65" s="237" customFormat="1" ht="16.5" thickBot="1" x14ac:dyDescent="0.3">
      <c r="A64" s="18"/>
      <c r="B64" s="349" t="str">
        <f>IF($E64="N/A", "",ProjectPlan!B68)</f>
        <v>4.3.2</v>
      </c>
      <c r="C64" s="350" t="str">
        <f>IF(E64="N/A", "",ProjectPlan!C68)</f>
        <v xml:space="preserve"> PRE-PROD  Sever </v>
      </c>
      <c r="D64" s="344" t="str">
        <f>IF(E64="N/A", "",_xlfn.XLOOKUP(tbl_prj_schedu[[#This Row],[REF]],tbl_AssignRole[Ref],tbl_AssignRole[AssigRole]))</f>
        <v>Max Patel-SERD</v>
      </c>
      <c r="E64" s="345">
        <f>ProjectPlan!I68</f>
        <v>0</v>
      </c>
      <c r="F64" s="351">
        <f>IF(E64="N/A", "",ProjectPlan!E68)</f>
        <v>45769</v>
      </c>
      <c r="G64" s="351">
        <f>IF(E64="N/A", "",ProjectPlan!F68)</f>
        <v>45769</v>
      </c>
      <c r="H64" s="352">
        <f>IF($E64="N/A", "",INT((F64-Project_Start)/7) + 1)</f>
        <v>16</v>
      </c>
      <c r="I64" s="348">
        <f t="shared" si="5"/>
        <v>1</v>
      </c>
      <c r="J64" s="236"/>
      <c r="K64" s="236"/>
      <c r="L64" s="236"/>
      <c r="M64" s="236"/>
      <c r="N64" s="236"/>
      <c r="O64" s="236"/>
      <c r="P64" s="236"/>
      <c r="Q64" s="236"/>
      <c r="R64" s="236"/>
      <c r="S64" s="236"/>
      <c r="T64" s="236"/>
      <c r="U64" s="236"/>
      <c r="V64" s="236"/>
      <c r="W64" s="236"/>
      <c r="X64" s="236"/>
      <c r="Y64" s="236"/>
      <c r="Z64" s="236"/>
      <c r="AA64" s="236"/>
      <c r="AB64" s="236"/>
      <c r="AC64" s="236"/>
      <c r="AD64" s="236"/>
      <c r="AE64" s="236"/>
      <c r="AF64" s="236"/>
      <c r="AG64" s="236"/>
      <c r="AH64" s="236"/>
      <c r="AI64" s="236"/>
      <c r="AJ64" s="236"/>
      <c r="AK64" s="236"/>
      <c r="AL64" s="236"/>
      <c r="AM64" s="236"/>
      <c r="AN64" s="236"/>
      <c r="AO64" s="236"/>
      <c r="AP64" s="236"/>
      <c r="AQ64" s="236"/>
      <c r="AR64" s="236"/>
      <c r="AS64" s="236"/>
      <c r="AT64" s="236"/>
      <c r="AU64" s="236"/>
      <c r="AV64" s="236"/>
      <c r="AW64" s="236"/>
      <c r="AX64" s="236"/>
      <c r="AY64" s="236"/>
      <c r="AZ64" s="236"/>
      <c r="BA64" s="236"/>
      <c r="BB64" s="236"/>
      <c r="BC64" s="236"/>
      <c r="BD64" s="236"/>
      <c r="BE64" s="236"/>
      <c r="BF64" s="236"/>
      <c r="BG64" s="236"/>
      <c r="BH64" s="236"/>
      <c r="BI64" s="236"/>
      <c r="BJ64" s="236"/>
      <c r="BK64" s="236"/>
      <c r="BL64" s="236"/>
      <c r="BM64" s="236"/>
    </row>
    <row r="65" spans="1:65" s="237" customFormat="1" ht="16.5" thickBot="1" x14ac:dyDescent="0.3">
      <c r="A65" s="18"/>
      <c r="B65" s="349" t="str">
        <f>IF($E65="N/A", "",ProjectPlan!B69)</f>
        <v>4.3.3</v>
      </c>
      <c r="C65" s="350" t="str">
        <f>IF(E65="N/A", "",ProjectPlan!C69)</f>
        <v xml:space="preserve"> PRE-PROD  Frontend</v>
      </c>
      <c r="D65" s="344" t="str">
        <f>IF(E65="N/A", "",_xlfn.XLOOKUP(tbl_prj_schedu[[#This Row],[REF]],tbl_AssignRole[Ref],tbl_AssignRole[AssigRole]))</f>
        <v>Hannah Fletcher-TECL</v>
      </c>
      <c r="E65" s="345">
        <f>ProjectPlan!I69</f>
        <v>0</v>
      </c>
      <c r="F65" s="351">
        <f>IF(E65="N/A", "",ProjectPlan!E69)</f>
        <v>45769</v>
      </c>
      <c r="G65" s="351">
        <f>IF(E65="N/A", "",ProjectPlan!F69)</f>
        <v>45769</v>
      </c>
      <c r="H65" s="352">
        <f>IF($E65="N/A", "",INT((F65-Project_Start)/7) + 1)</f>
        <v>16</v>
      </c>
      <c r="I65" s="348">
        <f t="shared" si="5"/>
        <v>1</v>
      </c>
      <c r="J65" s="236"/>
      <c r="K65" s="236"/>
      <c r="L65" s="236"/>
      <c r="M65" s="236"/>
      <c r="N65" s="236"/>
      <c r="O65" s="236"/>
      <c r="P65" s="236"/>
      <c r="Q65" s="236"/>
      <c r="R65" s="236"/>
      <c r="S65" s="236"/>
      <c r="T65" s="236"/>
      <c r="U65" s="236"/>
      <c r="V65" s="236"/>
      <c r="W65" s="236"/>
      <c r="X65" s="236"/>
      <c r="Y65" s="236"/>
      <c r="Z65" s="236"/>
      <c r="AA65" s="236"/>
      <c r="AB65" s="236"/>
      <c r="AC65" s="236"/>
      <c r="AD65" s="236"/>
      <c r="AE65" s="236"/>
      <c r="AF65" s="236"/>
      <c r="AG65" s="236"/>
      <c r="AH65" s="236"/>
      <c r="AI65" s="236"/>
      <c r="AJ65" s="236"/>
      <c r="AK65" s="236"/>
      <c r="AL65" s="236"/>
      <c r="AM65" s="236"/>
      <c r="AN65" s="236"/>
      <c r="AO65" s="236"/>
      <c r="AP65" s="236"/>
      <c r="AQ65" s="236"/>
      <c r="AR65" s="236"/>
      <c r="AS65" s="236"/>
      <c r="AT65" s="236"/>
      <c r="AU65" s="236"/>
      <c r="AV65" s="236"/>
      <c r="AW65" s="236"/>
      <c r="AX65" s="236"/>
      <c r="AY65" s="236"/>
      <c r="AZ65" s="236"/>
      <c r="BA65" s="236"/>
      <c r="BB65" s="236"/>
      <c r="BC65" s="236"/>
      <c r="BD65" s="236"/>
      <c r="BE65" s="236"/>
      <c r="BF65" s="236"/>
      <c r="BG65" s="236"/>
      <c r="BH65" s="236"/>
      <c r="BI65" s="236"/>
      <c r="BJ65" s="236"/>
      <c r="BK65" s="236"/>
      <c r="BL65" s="236"/>
      <c r="BM65" s="236"/>
    </row>
    <row r="66" spans="1:65" s="237" customFormat="1" ht="16.5" thickBot="1" x14ac:dyDescent="0.3">
      <c r="A66" s="18"/>
      <c r="B66" s="349" t="str">
        <f>IF($E66="N/A", "",ProjectPlan!B70)</f>
        <v>4.3.4</v>
      </c>
      <c r="C66" s="350" t="str">
        <f>IF(E66="N/A", "",ProjectPlan!C70)</f>
        <v xml:space="preserve"> PRE-PROD  Data</v>
      </c>
      <c r="D66" s="344" t="str">
        <f>IF(E66="N/A", "",_xlfn.XLOOKUP(tbl_prj_schedu[[#This Row],[REF]],tbl_AssignRole[Ref],tbl_AssignRole[AssigRole]))</f>
        <v>Evelyn Hart-ARCH</v>
      </c>
      <c r="E66" s="345">
        <f>ProjectPlan!I70</f>
        <v>0</v>
      </c>
      <c r="F66" s="351">
        <f>IF(E66="N/A", "",ProjectPlan!E70)</f>
        <v>45769</v>
      </c>
      <c r="G66" s="351">
        <f>IF(E66="N/A", "",ProjectPlan!F70)</f>
        <v>45769</v>
      </c>
      <c r="H66" s="352">
        <f>IF($E66="N/A", "",INT((F66-Project_Start)/7) + 1)</f>
        <v>16</v>
      </c>
      <c r="I66" s="348">
        <f t="shared" si="5"/>
        <v>1</v>
      </c>
      <c r="J66" s="236"/>
      <c r="K66" s="236"/>
      <c r="L66" s="236"/>
      <c r="M66" s="236"/>
      <c r="N66" s="236"/>
      <c r="O66" s="236"/>
      <c r="P66" s="236"/>
      <c r="Q66" s="236"/>
      <c r="R66" s="236"/>
      <c r="S66" s="236"/>
      <c r="T66" s="236"/>
      <c r="U66" s="236"/>
      <c r="V66" s="236"/>
      <c r="W66" s="236"/>
      <c r="X66" s="236"/>
      <c r="Y66" s="236"/>
      <c r="Z66" s="236"/>
      <c r="AA66" s="236"/>
      <c r="AB66" s="236"/>
      <c r="AC66" s="236"/>
      <c r="AD66" s="236"/>
      <c r="AE66" s="236"/>
      <c r="AF66" s="236"/>
      <c r="AG66" s="236"/>
      <c r="AH66" s="236"/>
      <c r="AI66" s="236"/>
      <c r="AJ66" s="236"/>
      <c r="AK66" s="236"/>
      <c r="AL66" s="236"/>
      <c r="AM66" s="236"/>
      <c r="AN66" s="236"/>
      <c r="AO66" s="236"/>
      <c r="AP66" s="236"/>
      <c r="AQ66" s="236"/>
      <c r="AR66" s="236"/>
      <c r="AS66" s="236"/>
      <c r="AT66" s="236"/>
      <c r="AU66" s="236"/>
      <c r="AV66" s="236"/>
      <c r="AW66" s="236"/>
      <c r="AX66" s="236"/>
      <c r="AY66" s="236"/>
      <c r="AZ66" s="236"/>
      <c r="BA66" s="236"/>
      <c r="BB66" s="236"/>
      <c r="BC66" s="236"/>
      <c r="BD66" s="236"/>
      <c r="BE66" s="236"/>
      <c r="BF66" s="236"/>
      <c r="BG66" s="236"/>
      <c r="BH66" s="236"/>
      <c r="BI66" s="236"/>
      <c r="BJ66" s="236"/>
      <c r="BK66" s="236"/>
      <c r="BL66" s="236"/>
      <c r="BM66" s="236"/>
    </row>
    <row r="67" spans="1:65" s="237" customFormat="1" ht="16.5" thickBot="1" x14ac:dyDescent="0.3">
      <c r="A67" s="18"/>
      <c r="B67" s="349" t="str">
        <f>IF($E67="N/A", "",ProjectPlan!B71)</f>
        <v>4.3.5</v>
      </c>
      <c r="C67" s="350" t="str">
        <f>IF(E67="N/A", "",ProjectPlan!C71)</f>
        <v xml:space="preserve"> PRE-PROD  Performance and Monitoring</v>
      </c>
      <c r="D67" s="344" t="str">
        <f>IF(E67="N/A", "",_xlfn.XLOOKUP(tbl_prj_schedu[[#This Row],[REF]],tbl_AssignRole[Ref],tbl_AssignRole[AssigRole]))</f>
        <v>Liam Gardner-PERL</v>
      </c>
      <c r="E67" s="345">
        <f>ProjectPlan!I71</f>
        <v>0</v>
      </c>
      <c r="F67" s="351">
        <f>IF(E67="N/A", "",ProjectPlan!E71)</f>
        <v>45769</v>
      </c>
      <c r="G67" s="351">
        <f>IF(E67="N/A", "",ProjectPlan!F71)</f>
        <v>45770</v>
      </c>
      <c r="H67" s="352">
        <f>IF($E67="N/A", "",INT((F67-Project_Start)/7) + 1)</f>
        <v>16</v>
      </c>
      <c r="I67" s="348">
        <f t="shared" si="5"/>
        <v>2</v>
      </c>
      <c r="J67" s="236"/>
      <c r="K67" s="236"/>
      <c r="L67" s="236"/>
      <c r="M67" s="236"/>
      <c r="N67" s="236"/>
      <c r="O67" s="236"/>
      <c r="P67" s="236"/>
      <c r="Q67" s="236"/>
      <c r="R67" s="236"/>
      <c r="S67" s="236"/>
      <c r="T67" s="236"/>
      <c r="U67" s="236"/>
      <c r="V67" s="236"/>
      <c r="W67" s="236"/>
      <c r="X67" s="236"/>
      <c r="Y67" s="236"/>
      <c r="Z67" s="236"/>
      <c r="AA67" s="236"/>
      <c r="AB67" s="236"/>
      <c r="AC67" s="236"/>
      <c r="AD67" s="236"/>
      <c r="AE67" s="236"/>
      <c r="AF67" s="236"/>
      <c r="AG67" s="236"/>
      <c r="AH67" s="236"/>
      <c r="AI67" s="236"/>
      <c r="AJ67" s="236"/>
      <c r="AK67" s="236"/>
      <c r="AL67" s="236"/>
      <c r="AM67" s="236"/>
      <c r="AN67" s="236"/>
      <c r="AO67" s="236"/>
      <c r="AP67" s="236"/>
      <c r="AQ67" s="236"/>
      <c r="AR67" s="236"/>
      <c r="AS67" s="236"/>
      <c r="AT67" s="236"/>
      <c r="AU67" s="236"/>
      <c r="AV67" s="236"/>
      <c r="AW67" s="236"/>
      <c r="AX67" s="236"/>
      <c r="AY67" s="236"/>
      <c r="AZ67" s="236"/>
      <c r="BA67" s="236"/>
      <c r="BB67" s="236"/>
      <c r="BC67" s="236"/>
      <c r="BD67" s="236"/>
      <c r="BE67" s="236"/>
      <c r="BF67" s="236"/>
      <c r="BG67" s="236"/>
      <c r="BH67" s="236"/>
      <c r="BI67" s="236"/>
      <c r="BJ67" s="236"/>
      <c r="BK67" s="236"/>
      <c r="BL67" s="236"/>
      <c r="BM67" s="236"/>
    </row>
    <row r="68" spans="1:65" s="237" customFormat="1" ht="16.5" thickBot="1" x14ac:dyDescent="0.3">
      <c r="A68" s="18"/>
      <c r="B68" s="342" t="s">
        <v>129</v>
      </c>
      <c r="C68" s="343" t="str">
        <f>IF(ProjectPlan!C73&lt;&gt;"",ProjectPlan!C73,"")</f>
        <v>Finalise Plan for Production</v>
      </c>
      <c r="D68" s="344"/>
      <c r="E68" s="345"/>
      <c r="F68" s="346"/>
      <c r="G68" s="347"/>
      <c r="H68" s="352"/>
      <c r="I68" s="348" t="str">
        <f t="shared" si="5"/>
        <v/>
      </c>
      <c r="J68" s="236"/>
      <c r="K68" s="236"/>
      <c r="L68" s="236"/>
      <c r="M68" s="236"/>
      <c r="N68" s="236"/>
      <c r="O68" s="236"/>
      <c r="P68" s="236"/>
      <c r="Q68" s="236"/>
      <c r="R68" s="236"/>
      <c r="S68" s="236"/>
      <c r="T68" s="236"/>
      <c r="U68" s="236"/>
      <c r="V68" s="236"/>
      <c r="W68" s="236"/>
      <c r="X68" s="236"/>
      <c r="Y68" s="236"/>
      <c r="Z68" s="236"/>
      <c r="AA68" s="236"/>
      <c r="AB68" s="236"/>
      <c r="AC68" s="236"/>
      <c r="AD68" s="236"/>
      <c r="AE68" s="236"/>
      <c r="AF68" s="236"/>
      <c r="AG68" s="236"/>
      <c r="AH68" s="236"/>
      <c r="AI68" s="236"/>
      <c r="AJ68" s="236"/>
      <c r="AK68" s="236"/>
      <c r="AL68" s="236"/>
      <c r="AM68" s="236"/>
      <c r="AN68" s="236"/>
      <c r="AO68" s="236"/>
      <c r="AP68" s="236"/>
      <c r="AQ68" s="236"/>
      <c r="AR68" s="236"/>
      <c r="AS68" s="236"/>
      <c r="AT68" s="236"/>
      <c r="AU68" s="236"/>
      <c r="AV68" s="236"/>
      <c r="AW68" s="236"/>
      <c r="AX68" s="236"/>
      <c r="AY68" s="236"/>
      <c r="AZ68" s="236"/>
      <c r="BA68" s="236"/>
      <c r="BB68" s="236"/>
      <c r="BC68" s="236"/>
      <c r="BD68" s="236"/>
      <c r="BE68" s="236"/>
      <c r="BF68" s="236"/>
      <c r="BG68" s="236"/>
      <c r="BH68" s="236"/>
      <c r="BI68" s="236"/>
      <c r="BJ68" s="236"/>
      <c r="BK68" s="236"/>
      <c r="BL68" s="236"/>
      <c r="BM68" s="236"/>
    </row>
    <row r="69" spans="1:65" s="237" customFormat="1" ht="16.5" thickBot="1" x14ac:dyDescent="0.3">
      <c r="A69" s="18"/>
      <c r="B69" s="349" t="str">
        <f>IF($E69="N/A", "",ProjectPlan!B74)</f>
        <v>5.1.1</v>
      </c>
      <c r="C69" s="350" t="str">
        <f>IF($E69="N/A", "",ProjectPlan!C74)</f>
        <v>Create a Stakeholder Report and Agree on a Go-Live Date</v>
      </c>
      <c r="D69" s="344" t="str">
        <f>IF(E69="N/A", "",_xlfn.XLOOKUP(tbl_prj_schedu[[#This Row],[REF]],tbl_AssignRole[Ref],tbl_AssignRole[AssigRole]))</f>
        <v>Un-Assigned-UNAS</v>
      </c>
      <c r="E69" s="345">
        <f>ProjectPlan!I74</f>
        <v>0</v>
      </c>
      <c r="F69" s="351">
        <f>IF(E69="N/A", "",ProjectPlan!E74)</f>
        <v>45769</v>
      </c>
      <c r="G69" s="351">
        <f>IF(E69="N/A", "",ProjectPlan!F74)</f>
        <v>45775</v>
      </c>
      <c r="H69" s="352">
        <f>IF($E69="N/A", "",INT((F69-Project_Start)/7) + 1)</f>
        <v>16</v>
      </c>
      <c r="I69" s="348">
        <f t="shared" si="5"/>
        <v>7</v>
      </c>
      <c r="J69" s="236"/>
      <c r="K69" s="236"/>
      <c r="L69" s="236"/>
      <c r="M69" s="236"/>
      <c r="N69" s="236"/>
      <c r="O69" s="236"/>
      <c r="P69" s="236"/>
      <c r="Q69" s="236"/>
      <c r="R69" s="236"/>
      <c r="S69" s="236"/>
      <c r="T69" s="236"/>
      <c r="U69" s="236"/>
      <c r="V69" s="236"/>
      <c r="W69" s="236"/>
      <c r="X69" s="236"/>
      <c r="Y69" s="236"/>
      <c r="Z69" s="236"/>
      <c r="AA69" s="236"/>
      <c r="AB69" s="236"/>
      <c r="AC69" s="236"/>
      <c r="AD69" s="236"/>
      <c r="AE69" s="236"/>
      <c r="AF69" s="236"/>
      <c r="AG69" s="236"/>
      <c r="AH69" s="236"/>
      <c r="AI69" s="236"/>
      <c r="AJ69" s="236"/>
      <c r="AK69" s="236"/>
      <c r="AL69" s="236"/>
      <c r="AM69" s="236"/>
      <c r="AN69" s="236"/>
      <c r="AO69" s="236"/>
      <c r="AP69" s="236"/>
      <c r="AQ69" s="236"/>
      <c r="AR69" s="236"/>
      <c r="AS69" s="236"/>
      <c r="AT69" s="236"/>
      <c r="AU69" s="236"/>
      <c r="AV69" s="236"/>
      <c r="AW69" s="236"/>
      <c r="AX69" s="236"/>
      <c r="AY69" s="236"/>
      <c r="AZ69" s="236"/>
      <c r="BA69" s="236"/>
      <c r="BB69" s="236"/>
      <c r="BC69" s="236"/>
      <c r="BD69" s="236"/>
      <c r="BE69" s="236"/>
      <c r="BF69" s="236"/>
      <c r="BG69" s="236"/>
      <c r="BH69" s="236"/>
      <c r="BI69" s="236"/>
      <c r="BJ69" s="236"/>
      <c r="BK69" s="236"/>
      <c r="BL69" s="236"/>
      <c r="BM69" s="236"/>
    </row>
    <row r="70" spans="1:65" s="237" customFormat="1" ht="16.5" thickBot="1" x14ac:dyDescent="0.3">
      <c r="A70" s="18"/>
      <c r="B70" s="349" t="str">
        <f>IF($E70="N/A", "",ProjectPlan!B75)</f>
        <v>5.1.2</v>
      </c>
      <c r="C70" s="350" t="str">
        <f>IF(E70="N/A", "",ProjectPlan!C75)</f>
        <v>Verify Environment Readiness for Go-Live</v>
      </c>
      <c r="D70" s="344" t="str">
        <f>IF(E70="N/A", "",_xlfn.XLOOKUP(tbl_prj_schedu[[#This Row],[REF]],tbl_AssignRole[Ref],tbl_AssignRole[AssigRole]))</f>
        <v>Max Patel-SERD</v>
      </c>
      <c r="E70" s="345">
        <f>ProjectPlan!I75</f>
        <v>0</v>
      </c>
      <c r="F70" s="351">
        <f>IF(E70="N/A", "",ProjectPlan!E75)</f>
        <v>45771</v>
      </c>
      <c r="G70" s="351">
        <f>IF(E70="N/A", "",ProjectPlan!F75)</f>
        <v>45777</v>
      </c>
      <c r="H70" s="352">
        <f>IF($E70="N/A", "",INT((F70-Project_Start)/7) + 1)</f>
        <v>16</v>
      </c>
      <c r="I70" s="348">
        <f t="shared" si="5"/>
        <v>7</v>
      </c>
      <c r="J70" s="236"/>
      <c r="K70" s="236"/>
      <c r="L70" s="236"/>
      <c r="M70" s="236"/>
      <c r="N70" s="236"/>
      <c r="O70" s="236"/>
      <c r="P70" s="236"/>
      <c r="Q70" s="236"/>
      <c r="R70" s="236"/>
      <c r="S70" s="236"/>
      <c r="T70" s="236"/>
      <c r="U70" s="236"/>
      <c r="V70" s="236"/>
      <c r="W70" s="236"/>
      <c r="X70" s="236"/>
      <c r="Y70" s="236"/>
      <c r="Z70" s="236"/>
      <c r="AA70" s="236"/>
      <c r="AB70" s="236"/>
      <c r="AC70" s="236"/>
      <c r="AD70" s="236"/>
      <c r="AE70" s="236"/>
      <c r="AF70" s="236"/>
      <c r="AG70" s="236"/>
      <c r="AH70" s="236"/>
      <c r="AI70" s="236"/>
      <c r="AJ70" s="236"/>
      <c r="AK70" s="236"/>
      <c r="AL70" s="236"/>
      <c r="AM70" s="236"/>
      <c r="AN70" s="236"/>
      <c r="AO70" s="236"/>
      <c r="AP70" s="236"/>
      <c r="AQ70" s="236"/>
      <c r="AR70" s="236"/>
      <c r="AS70" s="236"/>
      <c r="AT70" s="236"/>
      <c r="AU70" s="236"/>
      <c r="AV70" s="236"/>
      <c r="AW70" s="236"/>
      <c r="AX70" s="236"/>
      <c r="AY70" s="236"/>
      <c r="AZ70" s="236"/>
      <c r="BA70" s="236"/>
      <c r="BB70" s="236"/>
      <c r="BC70" s="236"/>
      <c r="BD70" s="236"/>
      <c r="BE70" s="236"/>
      <c r="BF70" s="236"/>
      <c r="BG70" s="236"/>
      <c r="BH70" s="236"/>
      <c r="BI70" s="236"/>
      <c r="BJ70" s="236"/>
      <c r="BK70" s="236"/>
      <c r="BL70" s="236"/>
      <c r="BM70" s="236"/>
    </row>
    <row r="71" spans="1:65" s="237" customFormat="1" ht="16.5" thickBot="1" x14ac:dyDescent="0.3">
      <c r="A71" s="18"/>
      <c r="B71" s="349" t="str">
        <f>IF($E71="N/A", "",ProjectPlan!B76)</f>
        <v>5.1.3</v>
      </c>
      <c r="C71" s="350" t="str">
        <f>IF(E71="N/A", "",ProjectPlan!C76)</f>
        <v>Hand Over Production to Support</v>
      </c>
      <c r="D71" s="344" t="str">
        <f>IF(E71="N/A", "",_xlfn.XLOOKUP(tbl_prj_schedu[[#This Row],[REF]],tbl_AssignRole[Ref],tbl_AssignRole[AssigRole]))</f>
        <v>Hannah Fletcher-TECL</v>
      </c>
      <c r="E71" s="345">
        <f>ProjectPlan!I76</f>
        <v>0</v>
      </c>
      <c r="F71" s="351">
        <f>IF(E71="N/A", "",ProjectPlan!E76)</f>
        <v>45771</v>
      </c>
      <c r="G71" s="351">
        <f>IF(E71="N/A", "",ProjectPlan!F76)</f>
        <v>45777</v>
      </c>
      <c r="H71" s="352">
        <f>IF($E71="N/A", "",INT((F71-Project_Start)/7) + 1)</f>
        <v>16</v>
      </c>
      <c r="I71" s="348">
        <f t="shared" si="5"/>
        <v>7</v>
      </c>
      <c r="J71" s="236"/>
      <c r="K71" s="236"/>
      <c r="L71" s="236"/>
      <c r="M71" s="236"/>
      <c r="N71" s="236"/>
      <c r="O71" s="236"/>
      <c r="P71" s="236"/>
      <c r="Q71" s="236"/>
      <c r="R71" s="236"/>
      <c r="S71" s="236"/>
      <c r="T71" s="236"/>
      <c r="U71" s="236"/>
      <c r="V71" s="236"/>
      <c r="W71" s="236"/>
      <c r="X71" s="236"/>
      <c r="Y71" s="236"/>
      <c r="Z71" s="236"/>
      <c r="AA71" s="236"/>
      <c r="AB71" s="236"/>
      <c r="AC71" s="236"/>
      <c r="AD71" s="236"/>
      <c r="AE71" s="236"/>
      <c r="AF71" s="236"/>
      <c r="AG71" s="236"/>
      <c r="AH71" s="236"/>
      <c r="AI71" s="236"/>
      <c r="AJ71" s="236"/>
      <c r="AK71" s="236"/>
      <c r="AL71" s="236"/>
      <c r="AM71" s="236"/>
      <c r="AN71" s="236"/>
      <c r="AO71" s="236"/>
      <c r="AP71" s="236"/>
      <c r="AQ71" s="236"/>
      <c r="AR71" s="236"/>
      <c r="AS71" s="236"/>
      <c r="AT71" s="236"/>
      <c r="AU71" s="236"/>
      <c r="AV71" s="236"/>
      <c r="AW71" s="236"/>
      <c r="AX71" s="236"/>
      <c r="AY71" s="236"/>
      <c r="AZ71" s="236"/>
      <c r="BA71" s="236"/>
      <c r="BB71" s="236"/>
      <c r="BC71" s="236"/>
      <c r="BD71" s="236"/>
      <c r="BE71" s="236"/>
      <c r="BF71" s="236"/>
      <c r="BG71" s="236"/>
      <c r="BH71" s="236"/>
      <c r="BI71" s="236"/>
      <c r="BJ71" s="236"/>
      <c r="BK71" s="236"/>
      <c r="BL71" s="236"/>
      <c r="BM71" s="236"/>
    </row>
    <row r="72" spans="1:65" s="237" customFormat="1" ht="16.5" thickBot="1" x14ac:dyDescent="0.3">
      <c r="A72" s="18"/>
      <c r="B72" s="349" t="str">
        <f>IF($E72="N/A", "",ProjectPlan!B77)</f>
        <v>5.1.4</v>
      </c>
      <c r="C72" s="350" t="str">
        <f>IF(E72="N/A", "",ProjectPlan!C77)</f>
        <v>Conduct Post-Production Review and Project Retrospectives</v>
      </c>
      <c r="D72" s="344" t="str">
        <f>IF(E72="N/A", "",_xlfn.XLOOKUP(tbl_prj_schedu[[#This Row],[REF]],tbl_AssignRole[Ref],tbl_AssignRole[AssigRole]))</f>
        <v>Clara Bennett-PROD</v>
      </c>
      <c r="E72" s="345">
        <f>ProjectPlan!I77</f>
        <v>0</v>
      </c>
      <c r="F72" s="351">
        <f>IF(E72="N/A", "",ProjectPlan!E77)</f>
        <v>45778</v>
      </c>
      <c r="G72" s="351">
        <f>IF(E72="N/A", "",ProjectPlan!F77)</f>
        <v>45785</v>
      </c>
      <c r="H72" s="352">
        <f>IF($E72="N/A", "",INT((F72-Project_Start)/7) + 1)</f>
        <v>17</v>
      </c>
      <c r="I72" s="348">
        <f t="shared" si="5"/>
        <v>8</v>
      </c>
      <c r="J72" s="236"/>
      <c r="K72" s="236"/>
      <c r="L72" s="236"/>
      <c r="M72" s="236"/>
      <c r="N72" s="236"/>
      <c r="O72" s="236"/>
      <c r="P72" s="236"/>
      <c r="Q72" s="236"/>
      <c r="R72" s="236"/>
      <c r="S72" s="236"/>
      <c r="T72" s="236"/>
      <c r="U72" s="236"/>
      <c r="V72" s="236"/>
      <c r="W72" s="236"/>
      <c r="X72" s="236"/>
      <c r="Y72" s="236"/>
      <c r="Z72" s="236"/>
      <c r="AA72" s="236"/>
      <c r="AB72" s="236"/>
      <c r="AC72" s="236"/>
      <c r="AD72" s="236"/>
      <c r="AE72" s="236"/>
      <c r="AF72" s="236"/>
      <c r="AG72" s="236"/>
      <c r="AH72" s="236"/>
      <c r="AI72" s="236"/>
      <c r="AJ72" s="236"/>
      <c r="AK72" s="236"/>
      <c r="AL72" s="236"/>
      <c r="AM72" s="236"/>
      <c r="AN72" s="236"/>
      <c r="AO72" s="236"/>
      <c r="AP72" s="236"/>
      <c r="AQ72" s="236"/>
      <c r="AR72" s="236"/>
      <c r="AS72" s="236"/>
      <c r="AT72" s="236"/>
      <c r="AU72" s="236"/>
      <c r="AV72" s="236"/>
      <c r="AW72" s="236"/>
      <c r="AX72" s="236"/>
      <c r="AY72" s="236"/>
      <c r="AZ72" s="236"/>
      <c r="BA72" s="236"/>
      <c r="BB72" s="236"/>
      <c r="BC72" s="236"/>
      <c r="BD72" s="236"/>
      <c r="BE72" s="236"/>
      <c r="BF72" s="236"/>
      <c r="BG72" s="236"/>
      <c r="BH72" s="236"/>
      <c r="BI72" s="236"/>
      <c r="BJ72" s="236"/>
      <c r="BK72" s="236"/>
      <c r="BL72" s="236"/>
      <c r="BM72" s="236"/>
    </row>
    <row r="73" spans="1:65" s="237" customFormat="1" ht="16.5" thickBot="1" x14ac:dyDescent="0.3">
      <c r="A73" s="18"/>
      <c r="B73" s="349" t="str">
        <f>IF($E73="N/A", "",ProjectPlan!B78)</f>
        <v/>
      </c>
      <c r="C73" s="350" t="str">
        <f>IF(E73="N/A", "",ProjectPlan!C78)</f>
        <v/>
      </c>
      <c r="D73" s="344" t="str">
        <f>IF(E73="N/A", "",_xlfn.XLOOKUP(tbl_prj_schedu[[#This Row],[REF]],tbl_AssignRole[Ref],tbl_AssignRole[AssigRole]))</f>
        <v/>
      </c>
      <c r="E73" s="345" t="str">
        <f>ProjectPlan!I78</f>
        <v>N/A</v>
      </c>
      <c r="F73" s="351" t="str">
        <f>IF(E73="N/A", "",ProjectPlan!E78)</f>
        <v/>
      </c>
      <c r="G73" s="351" t="str">
        <f>IF(E73="N/A", "",ProjectPlan!F78)</f>
        <v/>
      </c>
      <c r="H73" s="352" t="str">
        <f>IF($E73="N/A", "",INT((F73-Project_Start)/7) + 1)</f>
        <v/>
      </c>
      <c r="I73" s="348">
        <f t="shared" ref="I73:I85" si="6">IF(OR(ISBLANK(task_start), ISBLANK(task_end)), "", IF(E73="N/A", 0, task_end-task_start+1))</f>
        <v>0</v>
      </c>
      <c r="J73" s="236"/>
      <c r="K73" s="236"/>
      <c r="L73" s="236"/>
      <c r="M73" s="236"/>
      <c r="N73" s="236"/>
      <c r="O73" s="236"/>
      <c r="P73" s="236"/>
      <c r="Q73" s="236"/>
      <c r="R73" s="236"/>
      <c r="S73" s="236"/>
      <c r="T73" s="236"/>
      <c r="U73" s="236"/>
      <c r="V73" s="236"/>
      <c r="W73" s="236"/>
      <c r="X73" s="236"/>
      <c r="Y73" s="236"/>
      <c r="Z73" s="236"/>
      <c r="AA73" s="236"/>
      <c r="AB73" s="236"/>
      <c r="AC73" s="236"/>
      <c r="AD73" s="236"/>
      <c r="AE73" s="236"/>
      <c r="AF73" s="236"/>
      <c r="AG73" s="236"/>
      <c r="AH73" s="236"/>
      <c r="AI73" s="236"/>
      <c r="AJ73" s="236"/>
      <c r="AK73" s="236"/>
      <c r="AL73" s="236"/>
      <c r="AM73" s="236"/>
      <c r="AN73" s="236"/>
      <c r="AO73" s="236"/>
      <c r="AP73" s="236"/>
      <c r="AQ73" s="236"/>
      <c r="AR73" s="236"/>
      <c r="AS73" s="236"/>
      <c r="AT73" s="236"/>
      <c r="AU73" s="236"/>
      <c r="AV73" s="236"/>
      <c r="AW73" s="236"/>
      <c r="AX73" s="236"/>
      <c r="AY73" s="236"/>
      <c r="AZ73" s="236"/>
      <c r="BA73" s="236"/>
      <c r="BB73" s="236"/>
      <c r="BC73" s="236"/>
      <c r="BD73" s="236"/>
      <c r="BE73" s="236"/>
      <c r="BF73" s="236"/>
      <c r="BG73" s="236"/>
      <c r="BH73" s="236"/>
      <c r="BI73" s="236"/>
      <c r="BJ73" s="236"/>
      <c r="BK73" s="236"/>
      <c r="BL73" s="236"/>
      <c r="BM73" s="236"/>
    </row>
    <row r="74" spans="1:65" s="237" customFormat="1" ht="16.5" thickBot="1" x14ac:dyDescent="0.3">
      <c r="A74" s="18"/>
      <c r="B74" s="342" t="s">
        <v>129</v>
      </c>
      <c r="C74" s="343" t="str">
        <f>IF(ProjectPlan!C80&lt;&gt;"",ProjectPlan!C80,"")</f>
        <v>None</v>
      </c>
      <c r="D74" s="344"/>
      <c r="E74" s="345"/>
      <c r="F74" s="346"/>
      <c r="G74" s="347"/>
      <c r="H74" s="352"/>
      <c r="I74" s="348" t="str">
        <f t="shared" si="6"/>
        <v/>
      </c>
      <c r="J74" s="236"/>
      <c r="K74" s="236"/>
      <c r="L74" s="236"/>
      <c r="M74" s="236"/>
      <c r="N74" s="236"/>
      <c r="O74" s="236"/>
      <c r="P74" s="236"/>
      <c r="Q74" s="236"/>
      <c r="R74" s="236"/>
      <c r="S74" s="236"/>
      <c r="T74" s="236"/>
      <c r="U74" s="236"/>
      <c r="V74" s="236"/>
      <c r="W74" s="236"/>
      <c r="X74" s="236"/>
      <c r="Y74" s="236"/>
      <c r="Z74" s="236"/>
      <c r="AA74" s="236"/>
      <c r="AB74" s="236"/>
      <c r="AC74" s="236"/>
      <c r="AD74" s="236"/>
      <c r="AE74" s="236"/>
      <c r="AF74" s="236"/>
      <c r="AG74" s="236"/>
      <c r="AH74" s="236"/>
      <c r="AI74" s="236"/>
      <c r="AJ74" s="236"/>
      <c r="AK74" s="236"/>
      <c r="AL74" s="236"/>
      <c r="AM74" s="236"/>
      <c r="AN74" s="236"/>
      <c r="AO74" s="236"/>
      <c r="AP74" s="236"/>
      <c r="AQ74" s="236"/>
      <c r="AR74" s="236"/>
      <c r="AS74" s="236"/>
      <c r="AT74" s="236"/>
      <c r="AU74" s="236"/>
      <c r="AV74" s="236"/>
      <c r="AW74" s="236"/>
      <c r="AX74" s="236"/>
      <c r="AY74" s="236"/>
      <c r="AZ74" s="236"/>
      <c r="BA74" s="236"/>
      <c r="BB74" s="236"/>
      <c r="BC74" s="236"/>
      <c r="BD74" s="236"/>
      <c r="BE74" s="236"/>
      <c r="BF74" s="236"/>
      <c r="BG74" s="236"/>
      <c r="BH74" s="236"/>
      <c r="BI74" s="236"/>
      <c r="BJ74" s="236"/>
      <c r="BK74" s="236"/>
      <c r="BL74" s="236"/>
      <c r="BM74" s="236"/>
    </row>
    <row r="75" spans="1:65" s="237" customFormat="1" ht="16.5" thickBot="1" x14ac:dyDescent="0.3">
      <c r="A75" s="18"/>
      <c r="B75" s="349" t="str">
        <f>IF($E75="N/A", "",ProjectPlan!B81)</f>
        <v/>
      </c>
      <c r="C75" s="350" t="str">
        <f>IF($E75="N/A", "",ProjectPlan!C81)</f>
        <v/>
      </c>
      <c r="D75" s="344" t="str">
        <f>IF(E75="N/A", "",_xlfn.XLOOKUP(tbl_prj_schedu[[#This Row],[REF]],tbl_AssignRole[Ref],tbl_AssignRole[AssigRole]))</f>
        <v/>
      </c>
      <c r="E75" s="345" t="str">
        <f>ProjectPlan!I81</f>
        <v>N/A</v>
      </c>
      <c r="F75" s="351" t="str">
        <f>IF(E75="N/A", "",ProjectPlan!E81)</f>
        <v/>
      </c>
      <c r="G75" s="351" t="str">
        <f>IF(E75="N/A", "",ProjectPlan!F81)</f>
        <v/>
      </c>
      <c r="H75" s="352" t="str">
        <f>IF($E75="N/A", "",INT((F75-Project_Start)/7) + 1)</f>
        <v/>
      </c>
      <c r="I75" s="348">
        <f t="shared" si="6"/>
        <v>0</v>
      </c>
      <c r="J75" s="236"/>
      <c r="K75" s="236"/>
      <c r="L75" s="236"/>
      <c r="M75" s="236"/>
      <c r="N75" s="236"/>
      <c r="O75" s="236"/>
      <c r="P75" s="236"/>
      <c r="Q75" s="236"/>
      <c r="R75" s="236"/>
      <c r="S75" s="236"/>
      <c r="T75" s="236"/>
      <c r="U75" s="236"/>
      <c r="V75" s="236"/>
      <c r="W75" s="236"/>
      <c r="X75" s="236"/>
      <c r="Y75" s="236"/>
      <c r="Z75" s="236"/>
      <c r="AA75" s="236"/>
      <c r="AB75" s="236"/>
      <c r="AC75" s="236"/>
      <c r="AD75" s="236"/>
      <c r="AE75" s="236"/>
      <c r="AF75" s="236"/>
      <c r="AG75" s="236"/>
      <c r="AH75" s="236"/>
      <c r="AI75" s="236"/>
      <c r="AJ75" s="236"/>
      <c r="AK75" s="236"/>
      <c r="AL75" s="236"/>
      <c r="AM75" s="236"/>
      <c r="AN75" s="236"/>
      <c r="AO75" s="236"/>
      <c r="AP75" s="236"/>
      <c r="AQ75" s="236"/>
      <c r="AR75" s="236"/>
      <c r="AS75" s="236"/>
      <c r="AT75" s="236"/>
      <c r="AU75" s="236"/>
      <c r="AV75" s="236"/>
      <c r="AW75" s="236"/>
      <c r="AX75" s="236"/>
      <c r="AY75" s="236"/>
      <c r="AZ75" s="236"/>
      <c r="BA75" s="236"/>
      <c r="BB75" s="236"/>
      <c r="BC75" s="236"/>
      <c r="BD75" s="236"/>
      <c r="BE75" s="236"/>
      <c r="BF75" s="236"/>
      <c r="BG75" s="236"/>
      <c r="BH75" s="236"/>
      <c r="BI75" s="236"/>
      <c r="BJ75" s="236"/>
      <c r="BK75" s="236"/>
      <c r="BL75" s="236"/>
      <c r="BM75" s="236"/>
    </row>
    <row r="76" spans="1:65" s="237" customFormat="1" ht="16.5" thickBot="1" x14ac:dyDescent="0.3">
      <c r="A76" s="18"/>
      <c r="B76" s="349" t="str">
        <f>IF($E76="N/A", "",ProjectPlan!B82)</f>
        <v/>
      </c>
      <c r="C76" s="350" t="str">
        <f>IF(E76="N/A", "",ProjectPlan!C82)</f>
        <v/>
      </c>
      <c r="D76" s="344" t="str">
        <f>IF(E76="N/A", "",_xlfn.XLOOKUP(tbl_prj_schedu[[#This Row],[REF]],tbl_AssignRole[Ref],tbl_AssignRole[AssigRole]))</f>
        <v/>
      </c>
      <c r="E76" s="345" t="str">
        <f>ProjectPlan!I82</f>
        <v>N/A</v>
      </c>
      <c r="F76" s="351" t="str">
        <f>IF(E76="N/A", "",ProjectPlan!E82)</f>
        <v/>
      </c>
      <c r="G76" s="351" t="str">
        <f>IF(E76="N/A", "",ProjectPlan!F82)</f>
        <v/>
      </c>
      <c r="H76" s="352" t="str">
        <f>IF($E76="N/A", "",INT((F76-Project_Start)/7) + 1)</f>
        <v/>
      </c>
      <c r="I76" s="348">
        <f t="shared" si="6"/>
        <v>0</v>
      </c>
      <c r="J76" s="236"/>
      <c r="K76" s="236"/>
      <c r="L76" s="236"/>
      <c r="M76" s="236"/>
      <c r="N76" s="236"/>
      <c r="O76" s="236"/>
      <c r="P76" s="236"/>
      <c r="Q76" s="236"/>
      <c r="R76" s="236"/>
      <c r="S76" s="236"/>
      <c r="T76" s="236"/>
      <c r="U76" s="236"/>
      <c r="V76" s="236"/>
      <c r="W76" s="236"/>
      <c r="X76" s="236"/>
      <c r="Y76" s="236"/>
      <c r="Z76" s="236"/>
      <c r="AA76" s="236"/>
      <c r="AB76" s="236"/>
      <c r="AC76" s="236"/>
      <c r="AD76" s="236"/>
      <c r="AE76" s="236"/>
      <c r="AF76" s="236"/>
      <c r="AG76" s="236"/>
      <c r="AH76" s="236"/>
      <c r="AI76" s="236"/>
      <c r="AJ76" s="236"/>
      <c r="AK76" s="236"/>
      <c r="AL76" s="236"/>
      <c r="AM76" s="236"/>
      <c r="AN76" s="236"/>
      <c r="AO76" s="236"/>
      <c r="AP76" s="236"/>
      <c r="AQ76" s="236"/>
      <c r="AR76" s="236"/>
      <c r="AS76" s="236"/>
      <c r="AT76" s="236"/>
      <c r="AU76" s="236"/>
      <c r="AV76" s="236"/>
      <c r="AW76" s="236"/>
      <c r="AX76" s="236"/>
      <c r="AY76" s="236"/>
      <c r="AZ76" s="236"/>
      <c r="BA76" s="236"/>
      <c r="BB76" s="236"/>
      <c r="BC76" s="236"/>
      <c r="BD76" s="236"/>
      <c r="BE76" s="236"/>
      <c r="BF76" s="236"/>
      <c r="BG76" s="236"/>
      <c r="BH76" s="236"/>
      <c r="BI76" s="236"/>
      <c r="BJ76" s="236"/>
      <c r="BK76" s="236"/>
      <c r="BL76" s="236"/>
      <c r="BM76" s="236"/>
    </row>
    <row r="77" spans="1:65" s="237" customFormat="1" ht="16.5" thickBot="1" x14ac:dyDescent="0.3">
      <c r="A77" s="18"/>
      <c r="B77" s="349" t="str">
        <f>IF($E77="N/A", "",ProjectPlan!B83)</f>
        <v/>
      </c>
      <c r="C77" s="350" t="str">
        <f>IF(E77="N/A", "",ProjectPlan!C83)</f>
        <v/>
      </c>
      <c r="D77" s="344" t="str">
        <f>IF(E77="N/A", "",_xlfn.XLOOKUP(tbl_prj_schedu[[#This Row],[REF]],tbl_AssignRole[Ref],tbl_AssignRole[AssigRole]))</f>
        <v/>
      </c>
      <c r="E77" s="345" t="str">
        <f>ProjectPlan!I83</f>
        <v>N/A</v>
      </c>
      <c r="F77" s="351" t="str">
        <f>IF(E77="N/A", "",ProjectPlan!E83)</f>
        <v/>
      </c>
      <c r="G77" s="351" t="str">
        <f>IF(E77="N/A", "",ProjectPlan!F83)</f>
        <v/>
      </c>
      <c r="H77" s="352" t="str">
        <f>IF($E77="N/A", "",INT((F77-Project_Start)/7) + 1)</f>
        <v/>
      </c>
      <c r="I77" s="348">
        <f t="shared" si="6"/>
        <v>0</v>
      </c>
      <c r="J77" s="236"/>
      <c r="K77" s="236"/>
      <c r="L77" s="236"/>
      <c r="M77" s="236"/>
      <c r="N77" s="236"/>
      <c r="O77" s="236"/>
      <c r="P77" s="236"/>
      <c r="Q77" s="236"/>
      <c r="R77" s="236"/>
      <c r="S77" s="236"/>
      <c r="T77" s="236"/>
      <c r="U77" s="236"/>
      <c r="V77" s="236"/>
      <c r="W77" s="236"/>
      <c r="X77" s="236"/>
      <c r="Y77" s="236"/>
      <c r="Z77" s="236"/>
      <c r="AA77" s="236"/>
      <c r="AB77" s="236"/>
      <c r="AC77" s="236"/>
      <c r="AD77" s="236"/>
      <c r="AE77" s="236"/>
      <c r="AF77" s="236"/>
      <c r="AG77" s="236"/>
      <c r="AH77" s="236"/>
      <c r="AI77" s="236"/>
      <c r="AJ77" s="236"/>
      <c r="AK77" s="236"/>
      <c r="AL77" s="236"/>
      <c r="AM77" s="236"/>
      <c r="AN77" s="236"/>
      <c r="AO77" s="236"/>
      <c r="AP77" s="236"/>
      <c r="AQ77" s="236"/>
      <c r="AR77" s="236"/>
      <c r="AS77" s="236"/>
      <c r="AT77" s="236"/>
      <c r="AU77" s="236"/>
      <c r="AV77" s="236"/>
      <c r="AW77" s="236"/>
      <c r="AX77" s="236"/>
      <c r="AY77" s="236"/>
      <c r="AZ77" s="236"/>
      <c r="BA77" s="236"/>
      <c r="BB77" s="236"/>
      <c r="BC77" s="236"/>
      <c r="BD77" s="236"/>
      <c r="BE77" s="236"/>
      <c r="BF77" s="236"/>
      <c r="BG77" s="236"/>
      <c r="BH77" s="236"/>
      <c r="BI77" s="236"/>
      <c r="BJ77" s="236"/>
      <c r="BK77" s="236"/>
      <c r="BL77" s="236"/>
      <c r="BM77" s="236"/>
    </row>
    <row r="78" spans="1:65" s="237" customFormat="1" ht="16.5" thickBot="1" x14ac:dyDescent="0.3">
      <c r="A78" s="18"/>
      <c r="B78" s="349" t="str">
        <f>IF($E78="N/A", "",ProjectPlan!B84)</f>
        <v/>
      </c>
      <c r="C78" s="350" t="str">
        <f>IF(E78="N/A", "",ProjectPlan!C84)</f>
        <v/>
      </c>
      <c r="D78" s="344" t="str">
        <f>IF(E78="N/A", "",_xlfn.XLOOKUP(tbl_prj_schedu[[#This Row],[REF]],tbl_AssignRole[Ref],tbl_AssignRole[AssigRole]))</f>
        <v/>
      </c>
      <c r="E78" s="345" t="str">
        <f>ProjectPlan!I84</f>
        <v>N/A</v>
      </c>
      <c r="F78" s="351" t="str">
        <f>IF(E78="N/A", "",ProjectPlan!E84)</f>
        <v/>
      </c>
      <c r="G78" s="351" t="str">
        <f>IF(E78="N/A", "",ProjectPlan!F84)</f>
        <v/>
      </c>
      <c r="H78" s="352" t="str">
        <f>IF($E78="N/A", "",INT((F78-Project_Start)/7) + 1)</f>
        <v/>
      </c>
      <c r="I78" s="348">
        <f t="shared" si="6"/>
        <v>0</v>
      </c>
      <c r="J78" s="236"/>
      <c r="K78" s="236"/>
      <c r="L78" s="236"/>
      <c r="M78" s="236"/>
      <c r="N78" s="236"/>
      <c r="O78" s="236"/>
      <c r="P78" s="236"/>
      <c r="Q78" s="236"/>
      <c r="R78" s="236"/>
      <c r="S78" s="236"/>
      <c r="T78" s="236"/>
      <c r="U78" s="236"/>
      <c r="V78" s="236"/>
      <c r="W78" s="236"/>
      <c r="X78" s="236"/>
      <c r="Y78" s="236"/>
      <c r="Z78" s="236"/>
      <c r="AA78" s="236"/>
      <c r="AB78" s="236"/>
      <c r="AC78" s="236"/>
      <c r="AD78" s="236"/>
      <c r="AE78" s="236"/>
      <c r="AF78" s="236"/>
      <c r="AG78" s="236"/>
      <c r="AH78" s="236"/>
      <c r="AI78" s="236"/>
      <c r="AJ78" s="236"/>
      <c r="AK78" s="236"/>
      <c r="AL78" s="236"/>
      <c r="AM78" s="236"/>
      <c r="AN78" s="236"/>
      <c r="AO78" s="236"/>
      <c r="AP78" s="236"/>
      <c r="AQ78" s="236"/>
      <c r="AR78" s="236"/>
      <c r="AS78" s="236"/>
      <c r="AT78" s="236"/>
      <c r="AU78" s="236"/>
      <c r="AV78" s="236"/>
      <c r="AW78" s="236"/>
      <c r="AX78" s="236"/>
      <c r="AY78" s="236"/>
      <c r="AZ78" s="236"/>
      <c r="BA78" s="236"/>
      <c r="BB78" s="236"/>
      <c r="BC78" s="236"/>
      <c r="BD78" s="236"/>
      <c r="BE78" s="236"/>
      <c r="BF78" s="236"/>
      <c r="BG78" s="236"/>
      <c r="BH78" s="236"/>
      <c r="BI78" s="236"/>
      <c r="BJ78" s="236"/>
      <c r="BK78" s="236"/>
      <c r="BL78" s="236"/>
      <c r="BM78" s="236"/>
    </row>
    <row r="79" spans="1:65" s="237" customFormat="1" ht="16.5" thickBot="1" x14ac:dyDescent="0.3">
      <c r="A79" s="18"/>
      <c r="B79" s="349" t="str">
        <f>IF($E79="N/A", "",ProjectPlan!B85)</f>
        <v/>
      </c>
      <c r="C79" s="350" t="str">
        <f>IF(E79="N/A", "",ProjectPlan!C85)</f>
        <v/>
      </c>
      <c r="D79" s="344" t="str">
        <f>IF(E79="N/A", "",_xlfn.XLOOKUP(tbl_prj_schedu[[#This Row],[REF]],tbl_AssignRole[Ref],tbl_AssignRole[AssigRole]))</f>
        <v/>
      </c>
      <c r="E79" s="345" t="str">
        <f>ProjectPlan!I85</f>
        <v>N/A</v>
      </c>
      <c r="F79" s="351" t="str">
        <f>IF(E79="N/A", "",ProjectPlan!E85)</f>
        <v/>
      </c>
      <c r="G79" s="351" t="str">
        <f>IF(E79="N/A", "",ProjectPlan!F85)</f>
        <v/>
      </c>
      <c r="H79" s="352" t="str">
        <f>IF($E79="N/A", "",INT((F79-Project_Start)/7) + 1)</f>
        <v/>
      </c>
      <c r="I79" s="348">
        <f t="shared" si="6"/>
        <v>0</v>
      </c>
      <c r="J79" s="236"/>
      <c r="K79" s="236"/>
      <c r="L79" s="236"/>
      <c r="M79" s="236"/>
      <c r="N79" s="236"/>
      <c r="O79" s="236"/>
      <c r="P79" s="236"/>
      <c r="Q79" s="236"/>
      <c r="R79" s="236"/>
      <c r="S79" s="236"/>
      <c r="T79" s="236"/>
      <c r="U79" s="236"/>
      <c r="V79" s="236"/>
      <c r="W79" s="236"/>
      <c r="X79" s="236"/>
      <c r="Y79" s="236"/>
      <c r="Z79" s="236"/>
      <c r="AA79" s="236"/>
      <c r="AB79" s="236"/>
      <c r="AC79" s="236"/>
      <c r="AD79" s="236"/>
      <c r="AE79" s="236"/>
      <c r="AF79" s="236"/>
      <c r="AG79" s="236"/>
      <c r="AH79" s="236"/>
      <c r="AI79" s="236"/>
      <c r="AJ79" s="236"/>
      <c r="AK79" s="236"/>
      <c r="AL79" s="236"/>
      <c r="AM79" s="236"/>
      <c r="AN79" s="236"/>
      <c r="AO79" s="236"/>
      <c r="AP79" s="236"/>
      <c r="AQ79" s="236"/>
      <c r="AR79" s="236"/>
      <c r="AS79" s="236"/>
      <c r="AT79" s="236"/>
      <c r="AU79" s="236"/>
      <c r="AV79" s="236"/>
      <c r="AW79" s="236"/>
      <c r="AX79" s="236"/>
      <c r="AY79" s="236"/>
      <c r="AZ79" s="236"/>
      <c r="BA79" s="236"/>
      <c r="BB79" s="236"/>
      <c r="BC79" s="236"/>
      <c r="BD79" s="236"/>
      <c r="BE79" s="236"/>
      <c r="BF79" s="236"/>
      <c r="BG79" s="236"/>
      <c r="BH79" s="236"/>
      <c r="BI79" s="236"/>
      <c r="BJ79" s="236"/>
      <c r="BK79" s="236"/>
      <c r="BL79" s="236"/>
      <c r="BM79" s="236"/>
    </row>
    <row r="80" spans="1:65" s="237" customFormat="1" ht="16.5" thickBot="1" x14ac:dyDescent="0.3">
      <c r="A80" s="18"/>
      <c r="B80" s="342" t="s">
        <v>129</v>
      </c>
      <c r="C80" s="343" t="str">
        <f>IF(ProjectPlan!C87&lt;&gt;"",ProjectPlan!C87,"")</f>
        <v>None</v>
      </c>
      <c r="D80" s="344"/>
      <c r="E80" s="345"/>
      <c r="F80" s="346"/>
      <c r="G80" s="347"/>
      <c r="H80" s="352"/>
      <c r="I80" s="348" t="str">
        <f t="shared" si="6"/>
        <v/>
      </c>
      <c r="J80" s="236"/>
      <c r="K80" s="236"/>
      <c r="L80" s="236"/>
      <c r="M80" s="236"/>
      <c r="N80" s="236"/>
      <c r="O80" s="236"/>
      <c r="P80" s="236"/>
      <c r="Q80" s="236"/>
      <c r="R80" s="236"/>
      <c r="S80" s="236"/>
      <c r="T80" s="236"/>
      <c r="U80" s="236"/>
      <c r="V80" s="236"/>
      <c r="W80" s="236"/>
      <c r="X80" s="236"/>
      <c r="Y80" s="236"/>
      <c r="Z80" s="236"/>
      <c r="AA80" s="236"/>
      <c r="AB80" s="236"/>
      <c r="AC80" s="236"/>
      <c r="AD80" s="236"/>
      <c r="AE80" s="236"/>
      <c r="AF80" s="236"/>
      <c r="AG80" s="236"/>
      <c r="AH80" s="236"/>
      <c r="AI80" s="236"/>
      <c r="AJ80" s="236"/>
      <c r="AK80" s="236"/>
      <c r="AL80" s="236"/>
      <c r="AM80" s="236"/>
      <c r="AN80" s="236"/>
      <c r="AO80" s="236"/>
      <c r="AP80" s="236"/>
      <c r="AQ80" s="236"/>
      <c r="AR80" s="236"/>
      <c r="AS80" s="236"/>
      <c r="AT80" s="236"/>
      <c r="AU80" s="236"/>
      <c r="AV80" s="236"/>
      <c r="AW80" s="236"/>
      <c r="AX80" s="236"/>
      <c r="AY80" s="236"/>
      <c r="AZ80" s="236"/>
      <c r="BA80" s="236"/>
      <c r="BB80" s="236"/>
      <c r="BC80" s="236"/>
      <c r="BD80" s="236"/>
      <c r="BE80" s="236"/>
      <c r="BF80" s="236"/>
      <c r="BG80" s="236"/>
      <c r="BH80" s="236"/>
      <c r="BI80" s="236"/>
      <c r="BJ80" s="236"/>
      <c r="BK80" s="236"/>
      <c r="BL80" s="236"/>
      <c r="BM80" s="236"/>
    </row>
    <row r="81" spans="1:65" s="237" customFormat="1" ht="16.5" thickBot="1" x14ac:dyDescent="0.3">
      <c r="A81" s="18"/>
      <c r="B81" s="349" t="str">
        <f>IF($E81="N/A", "",ProjectPlan!B88)</f>
        <v/>
      </c>
      <c r="C81" s="350" t="str">
        <f>IF($E81="N/A", "",ProjectPlan!C88)</f>
        <v/>
      </c>
      <c r="D81" s="344" t="str">
        <f>IF(E81="N/A", "",_xlfn.XLOOKUP(tbl_prj_schedu[[#This Row],[REF]],tbl_AssignRole[Ref],tbl_AssignRole[AssigRole]))</f>
        <v/>
      </c>
      <c r="E81" s="345" t="str">
        <f>ProjectPlan!I88</f>
        <v>N/A</v>
      </c>
      <c r="F81" s="351" t="str">
        <f>IF(E81="N/A", "",ProjectPlan!E88)</f>
        <v/>
      </c>
      <c r="G81" s="351" t="str">
        <f>IF(E81="N/A", "",ProjectPlan!F88)</f>
        <v/>
      </c>
      <c r="H81" s="352" t="str">
        <f>IF($E81="N/A", "",INT((F81-Project_Start)/7) + 1)</f>
        <v/>
      </c>
      <c r="I81" s="348">
        <f t="shared" si="6"/>
        <v>0</v>
      </c>
      <c r="J81" s="236"/>
      <c r="K81" s="236"/>
      <c r="L81" s="236"/>
      <c r="M81" s="236"/>
      <c r="N81" s="236"/>
      <c r="O81" s="236"/>
      <c r="P81" s="236"/>
      <c r="Q81" s="236"/>
      <c r="R81" s="236"/>
      <c r="S81" s="236"/>
      <c r="T81" s="236"/>
      <c r="U81" s="236"/>
      <c r="V81" s="236"/>
      <c r="W81" s="236"/>
      <c r="X81" s="236"/>
      <c r="Y81" s="236"/>
      <c r="Z81" s="236"/>
      <c r="AA81" s="236"/>
      <c r="AB81" s="236"/>
      <c r="AC81" s="236"/>
      <c r="AD81" s="236"/>
      <c r="AE81" s="236"/>
      <c r="AF81" s="236"/>
      <c r="AG81" s="236"/>
      <c r="AH81" s="236"/>
      <c r="AI81" s="236"/>
      <c r="AJ81" s="236"/>
      <c r="AK81" s="236"/>
      <c r="AL81" s="236"/>
      <c r="AM81" s="236"/>
      <c r="AN81" s="236"/>
      <c r="AO81" s="236"/>
      <c r="AP81" s="236"/>
      <c r="AQ81" s="236"/>
      <c r="AR81" s="236"/>
      <c r="AS81" s="236"/>
      <c r="AT81" s="236"/>
      <c r="AU81" s="236"/>
      <c r="AV81" s="236"/>
      <c r="AW81" s="236"/>
      <c r="AX81" s="236"/>
      <c r="AY81" s="236"/>
      <c r="AZ81" s="236"/>
      <c r="BA81" s="236"/>
      <c r="BB81" s="236"/>
      <c r="BC81" s="236"/>
      <c r="BD81" s="236"/>
      <c r="BE81" s="236"/>
      <c r="BF81" s="236"/>
      <c r="BG81" s="236"/>
      <c r="BH81" s="236"/>
      <c r="BI81" s="236"/>
      <c r="BJ81" s="236"/>
      <c r="BK81" s="236"/>
      <c r="BL81" s="236"/>
      <c r="BM81" s="236"/>
    </row>
    <row r="82" spans="1:65" s="237" customFormat="1" ht="16.5" thickBot="1" x14ac:dyDescent="0.3">
      <c r="A82" s="18"/>
      <c r="B82" s="349" t="str">
        <f>IF($E82="N/A", "",ProjectPlan!B89)</f>
        <v/>
      </c>
      <c r="C82" s="350" t="str">
        <f>IF(E82="N/A", "",ProjectPlan!C89)</f>
        <v/>
      </c>
      <c r="D82" s="344" t="str">
        <f>IF(E82="N/A", "",_xlfn.XLOOKUP(tbl_prj_schedu[[#This Row],[REF]],tbl_AssignRole[Ref],tbl_AssignRole[AssigRole]))</f>
        <v/>
      </c>
      <c r="E82" s="345" t="str">
        <f>ProjectPlan!I89</f>
        <v>N/A</v>
      </c>
      <c r="F82" s="351" t="str">
        <f>IF(E82="N/A", "",ProjectPlan!E89)</f>
        <v/>
      </c>
      <c r="G82" s="351" t="str">
        <f>IF(E82="N/A", "",ProjectPlan!F89)</f>
        <v/>
      </c>
      <c r="H82" s="352" t="str">
        <f>IF($E82="N/A", "",INT((F82-Project_Start)/7) + 1)</f>
        <v/>
      </c>
      <c r="I82" s="348">
        <f t="shared" si="6"/>
        <v>0</v>
      </c>
      <c r="J82" s="236"/>
      <c r="K82" s="236"/>
      <c r="L82" s="236"/>
      <c r="M82" s="236"/>
      <c r="N82" s="236"/>
      <c r="O82" s="236"/>
      <c r="P82" s="236"/>
      <c r="Q82" s="236"/>
      <c r="R82" s="236"/>
      <c r="S82" s="236"/>
      <c r="T82" s="236"/>
      <c r="U82" s="236"/>
      <c r="V82" s="236"/>
      <c r="W82" s="236"/>
      <c r="X82" s="236"/>
      <c r="Y82" s="236"/>
      <c r="Z82" s="236"/>
      <c r="AA82" s="236"/>
      <c r="AB82" s="236"/>
      <c r="AC82" s="236"/>
      <c r="AD82" s="236"/>
      <c r="AE82" s="236"/>
      <c r="AF82" s="236"/>
      <c r="AG82" s="236"/>
      <c r="AH82" s="236"/>
      <c r="AI82" s="236"/>
      <c r="AJ82" s="236"/>
      <c r="AK82" s="236"/>
      <c r="AL82" s="236"/>
      <c r="AM82" s="236"/>
      <c r="AN82" s="236"/>
      <c r="AO82" s="236"/>
      <c r="AP82" s="236"/>
      <c r="AQ82" s="236"/>
      <c r="AR82" s="236"/>
      <c r="AS82" s="236"/>
      <c r="AT82" s="236"/>
      <c r="AU82" s="236"/>
      <c r="AV82" s="236"/>
      <c r="AW82" s="236"/>
      <c r="AX82" s="236"/>
      <c r="AY82" s="236"/>
      <c r="AZ82" s="236"/>
      <c r="BA82" s="236"/>
      <c r="BB82" s="236"/>
      <c r="BC82" s="236"/>
      <c r="BD82" s="236"/>
      <c r="BE82" s="236"/>
      <c r="BF82" s="236"/>
      <c r="BG82" s="236"/>
      <c r="BH82" s="236"/>
      <c r="BI82" s="236"/>
      <c r="BJ82" s="236"/>
      <c r="BK82" s="236"/>
      <c r="BL82" s="236"/>
      <c r="BM82" s="236"/>
    </row>
    <row r="83" spans="1:65" s="237" customFormat="1" ht="16.5" thickBot="1" x14ac:dyDescent="0.3">
      <c r="A83" s="18"/>
      <c r="B83" s="349" t="str">
        <f>IF($E83="N/A", "",ProjectPlan!B90)</f>
        <v/>
      </c>
      <c r="C83" s="350" t="str">
        <f>IF(E83="N/A", "",ProjectPlan!C90)</f>
        <v/>
      </c>
      <c r="D83" s="344" t="str">
        <f>IF(E83="N/A", "",_xlfn.XLOOKUP(tbl_prj_schedu[[#This Row],[REF]],tbl_AssignRole[Ref],tbl_AssignRole[AssigRole]))</f>
        <v/>
      </c>
      <c r="E83" s="345" t="str">
        <f>ProjectPlan!I90</f>
        <v>N/A</v>
      </c>
      <c r="F83" s="351" t="str">
        <f>IF(E83="N/A", "",ProjectPlan!E90)</f>
        <v/>
      </c>
      <c r="G83" s="351" t="str">
        <f>IF(E83="N/A", "",ProjectPlan!F90)</f>
        <v/>
      </c>
      <c r="H83" s="352" t="str">
        <f>IF($E83="N/A", "",INT((F83-Project_Start)/7) + 1)</f>
        <v/>
      </c>
      <c r="I83" s="348">
        <f t="shared" si="6"/>
        <v>0</v>
      </c>
      <c r="J83" s="236"/>
      <c r="K83" s="236"/>
      <c r="L83" s="236"/>
      <c r="M83" s="236"/>
      <c r="N83" s="236"/>
      <c r="O83" s="236"/>
      <c r="P83" s="236"/>
      <c r="Q83" s="236"/>
      <c r="R83" s="236"/>
      <c r="S83" s="236"/>
      <c r="T83" s="236"/>
      <c r="U83" s="236"/>
      <c r="V83" s="236"/>
      <c r="W83" s="236"/>
      <c r="X83" s="236"/>
      <c r="Y83" s="236"/>
      <c r="Z83" s="236"/>
      <c r="AA83" s="236"/>
      <c r="AB83" s="236"/>
      <c r="AC83" s="236"/>
      <c r="AD83" s="236"/>
      <c r="AE83" s="236"/>
      <c r="AF83" s="236"/>
      <c r="AG83" s="236"/>
      <c r="AH83" s="236"/>
      <c r="AI83" s="236"/>
      <c r="AJ83" s="236"/>
      <c r="AK83" s="236"/>
      <c r="AL83" s="236"/>
      <c r="AM83" s="236"/>
      <c r="AN83" s="236"/>
      <c r="AO83" s="236"/>
      <c r="AP83" s="236"/>
      <c r="AQ83" s="236"/>
      <c r="AR83" s="236"/>
      <c r="AS83" s="236"/>
      <c r="AT83" s="236"/>
      <c r="AU83" s="236"/>
      <c r="AV83" s="236"/>
      <c r="AW83" s="236"/>
      <c r="AX83" s="236"/>
      <c r="AY83" s="236"/>
      <c r="AZ83" s="236"/>
      <c r="BA83" s="236"/>
      <c r="BB83" s="236"/>
      <c r="BC83" s="236"/>
      <c r="BD83" s="236"/>
      <c r="BE83" s="236"/>
      <c r="BF83" s="236"/>
      <c r="BG83" s="236"/>
      <c r="BH83" s="236"/>
      <c r="BI83" s="236"/>
      <c r="BJ83" s="236"/>
      <c r="BK83" s="236"/>
      <c r="BL83" s="236"/>
      <c r="BM83" s="236"/>
    </row>
    <row r="84" spans="1:65" s="237" customFormat="1" ht="16.5" thickBot="1" x14ac:dyDescent="0.3">
      <c r="A84" s="18"/>
      <c r="B84" s="349" t="str">
        <f>IF($E84="N/A", "",ProjectPlan!B91)</f>
        <v/>
      </c>
      <c r="C84" s="350" t="str">
        <f>IF(E84="N/A", "",ProjectPlan!C91)</f>
        <v/>
      </c>
      <c r="D84" s="344" t="str">
        <f>IF(E84="N/A", "",_xlfn.XLOOKUP(tbl_prj_schedu[[#This Row],[REF]],tbl_AssignRole[Ref],tbl_AssignRole[AssigRole]))</f>
        <v/>
      </c>
      <c r="E84" s="345" t="str">
        <f>ProjectPlan!I91</f>
        <v>N/A</v>
      </c>
      <c r="F84" s="351" t="str">
        <f>IF(E84="N/A", "",ProjectPlan!E91)</f>
        <v/>
      </c>
      <c r="G84" s="351" t="str">
        <f>IF(E84="N/A", "",ProjectPlan!F91)</f>
        <v/>
      </c>
      <c r="H84" s="352" t="str">
        <f>IF($E84="N/A", "",INT((F84-Project_Start)/7) + 1)</f>
        <v/>
      </c>
      <c r="I84" s="348">
        <f t="shared" si="6"/>
        <v>0</v>
      </c>
      <c r="J84" s="236"/>
      <c r="K84" s="236"/>
      <c r="L84" s="236"/>
      <c r="M84" s="236"/>
      <c r="N84" s="236"/>
      <c r="O84" s="236"/>
      <c r="P84" s="236"/>
      <c r="Q84" s="236"/>
      <c r="R84" s="236"/>
      <c r="S84" s="236"/>
      <c r="T84" s="236"/>
      <c r="U84" s="236"/>
      <c r="V84" s="236"/>
      <c r="W84" s="236"/>
      <c r="X84" s="236"/>
      <c r="Y84" s="236"/>
      <c r="Z84" s="236"/>
      <c r="AA84" s="236"/>
      <c r="AB84" s="236"/>
      <c r="AC84" s="236"/>
      <c r="AD84" s="236"/>
      <c r="AE84" s="236"/>
      <c r="AF84" s="236"/>
      <c r="AG84" s="236"/>
      <c r="AH84" s="236"/>
      <c r="AI84" s="236"/>
      <c r="AJ84" s="236"/>
      <c r="AK84" s="236"/>
      <c r="AL84" s="236"/>
      <c r="AM84" s="236"/>
      <c r="AN84" s="236"/>
      <c r="AO84" s="236"/>
      <c r="AP84" s="236"/>
      <c r="AQ84" s="236"/>
      <c r="AR84" s="236"/>
      <c r="AS84" s="236"/>
      <c r="AT84" s="236"/>
      <c r="AU84" s="236"/>
      <c r="AV84" s="236"/>
      <c r="AW84" s="236"/>
      <c r="AX84" s="236"/>
      <c r="AY84" s="236"/>
      <c r="AZ84" s="236"/>
      <c r="BA84" s="236"/>
      <c r="BB84" s="236"/>
      <c r="BC84" s="236"/>
      <c r="BD84" s="236"/>
      <c r="BE84" s="236"/>
      <c r="BF84" s="236"/>
      <c r="BG84" s="236"/>
      <c r="BH84" s="236"/>
      <c r="BI84" s="236"/>
      <c r="BJ84" s="236"/>
      <c r="BK84" s="236"/>
      <c r="BL84" s="236"/>
      <c r="BM84" s="236"/>
    </row>
    <row r="85" spans="1:65" s="237" customFormat="1" ht="16.5" thickBot="1" x14ac:dyDescent="0.3">
      <c r="A85" s="18"/>
      <c r="B85" s="354" t="str">
        <f>IF($E85="N/A", "",ProjectPlan!B92)</f>
        <v/>
      </c>
      <c r="C85" s="355" t="str">
        <f>IF(E85="N/A", "",ProjectPlan!C92)</f>
        <v/>
      </c>
      <c r="D85" s="356" t="str">
        <f>IF(E85="N/A", "",_xlfn.XLOOKUP(tbl_prj_schedu[[#This Row],[REF]],tbl_AssignRole[Ref],tbl_AssignRole[AssigRole]))</f>
        <v/>
      </c>
      <c r="E85" s="357" t="str">
        <f>ProjectPlan!I92</f>
        <v>N/A</v>
      </c>
      <c r="F85" s="358" t="str">
        <f>IF(E85="N/A", "",ProjectPlan!E92)</f>
        <v/>
      </c>
      <c r="G85" s="358" t="str">
        <f>IF(E85="N/A", "",ProjectPlan!F92)</f>
        <v/>
      </c>
      <c r="H85" s="359" t="str">
        <f>IF($E85="N/A", "",INT((F85-Project_Start)/7) + 1)</f>
        <v/>
      </c>
      <c r="I85" s="360">
        <f t="shared" si="6"/>
        <v>0</v>
      </c>
      <c r="J85" s="236"/>
      <c r="K85" s="236"/>
      <c r="L85" s="236"/>
      <c r="M85" s="236"/>
      <c r="N85" s="236"/>
      <c r="O85" s="236"/>
      <c r="P85" s="236"/>
      <c r="Q85" s="236"/>
      <c r="R85" s="236"/>
      <c r="S85" s="236"/>
      <c r="T85" s="236"/>
      <c r="U85" s="236"/>
      <c r="V85" s="236"/>
      <c r="W85" s="236"/>
      <c r="X85" s="236"/>
      <c r="Y85" s="236"/>
      <c r="Z85" s="236"/>
      <c r="AA85" s="236"/>
      <c r="AB85" s="236"/>
      <c r="AC85" s="236"/>
      <c r="AD85" s="236"/>
      <c r="AE85" s="236"/>
      <c r="AF85" s="236"/>
      <c r="AG85" s="236"/>
      <c r="AH85" s="236"/>
      <c r="AI85" s="236"/>
      <c r="AJ85" s="236"/>
      <c r="AK85" s="236"/>
      <c r="AL85" s="236"/>
      <c r="AM85" s="236"/>
      <c r="AN85" s="236"/>
      <c r="AO85" s="236"/>
      <c r="AP85" s="236"/>
      <c r="AQ85" s="236"/>
      <c r="AR85" s="236"/>
      <c r="AS85" s="236"/>
      <c r="AT85" s="236"/>
      <c r="AU85" s="236"/>
      <c r="AV85" s="236"/>
      <c r="AW85" s="236"/>
      <c r="AX85" s="236"/>
      <c r="AY85" s="236"/>
      <c r="AZ85" s="236"/>
      <c r="BA85" s="236"/>
      <c r="BB85" s="236"/>
      <c r="BC85" s="236"/>
      <c r="BD85" s="236"/>
      <c r="BE85" s="236"/>
      <c r="BF85" s="236"/>
      <c r="BG85" s="236"/>
      <c r="BH85" s="236"/>
      <c r="BI85" s="236"/>
      <c r="BJ85" s="236"/>
      <c r="BK85" s="236"/>
      <c r="BL85" s="236"/>
      <c r="BM85" s="236"/>
    </row>
    <row r="86" spans="1:65" ht="17.45" customHeight="1" x14ac:dyDescent="0.25">
      <c r="C86" s="333"/>
      <c r="D86" s="334"/>
      <c r="E86" s="335"/>
      <c r="F86" s="336"/>
      <c r="G86" s="336"/>
    </row>
  </sheetData>
  <sheetProtection algorithmName="SHA-512" hashValue="dJNg01q1s5oWhPX1KsK35e9j65sTJjt4gtvr8kvteOs4PSVEOvrb0Ehp927JMimTJHYklp/m+xIvwQhVucc3Dg==" saltValue="090nBJcH0+f4tR1F35FeMA==" spinCount="100000" sheet="1" objects="1" scenarios="1" formatCells="0" formatColumns="0" formatRows="0" sort="0" autoFilter="0"/>
  <protectedRanges>
    <protectedRange sqref="B6:BM86" name="projectSchedule_Sort"/>
    <protectedRange sqref="F4" name="ProjectSchedule_DisplayWeek"/>
  </protectedRanges>
  <mergeCells count="13">
    <mergeCell ref="C3:C4"/>
    <mergeCell ref="BG4:BM4"/>
    <mergeCell ref="D3:E3"/>
    <mergeCell ref="D4:E4"/>
    <mergeCell ref="AL4:AR4"/>
    <mergeCell ref="AS4:AY4"/>
    <mergeCell ref="AZ4:BF4"/>
    <mergeCell ref="F3:G3"/>
    <mergeCell ref="J4:P4"/>
    <mergeCell ref="Q4:W4"/>
    <mergeCell ref="X4:AD4"/>
    <mergeCell ref="AE4:AK4"/>
    <mergeCell ref="L3:Q3"/>
  </mergeCells>
  <conditionalFormatting sqref="B8:BM85">
    <cfRule type="expression" dxfId="43" priority="6">
      <formula>$C8=""</formula>
    </cfRule>
    <cfRule type="expression" dxfId="42" priority="9">
      <formula>$E8="N/A"</formula>
    </cfRule>
    <cfRule type="expression" dxfId="41" priority="11">
      <formula>$E8=""</formula>
    </cfRule>
    <cfRule type="expression" dxfId="40" priority="38">
      <formula>$E8&lt;&gt;""</formula>
    </cfRule>
  </conditionalFormatting>
  <conditionalFormatting sqref="E7:E86">
    <cfRule type="dataBar" priority="4">
      <dataBar>
        <cfvo type="num" val="0"/>
        <cfvo type="num" val="1"/>
        <color theme="0" tint="-0.249977111117893"/>
      </dataBar>
      <extLst>
        <ext xmlns:x14="http://schemas.microsoft.com/office/spreadsheetml/2009/9/main" uri="{B025F937-C7B1-47D3-B67F-A62EFF666E3E}">
          <x14:id>{A879DDDC-536B-481B-95F6-2F83E63C5E42}</x14:id>
        </ext>
      </extLst>
    </cfRule>
  </conditionalFormatting>
  <conditionalFormatting sqref="E8:E85">
    <cfRule type="expression" dxfId="39" priority="12">
      <formula>$E8&lt;&gt;""</formula>
    </cfRule>
  </conditionalFormatting>
  <conditionalFormatting sqref="F8:G85">
    <cfRule type="expression" dxfId="38" priority="35">
      <formula>$F8&lt;&gt;""</formula>
    </cfRule>
  </conditionalFormatting>
  <conditionalFormatting sqref="H8:H85">
    <cfRule type="cellIs" dxfId="37" priority="1" operator="between">
      <formula>$F$4</formula>
      <formula>$F$4+2</formula>
    </cfRule>
  </conditionalFormatting>
  <conditionalFormatting sqref="J8:BL85">
    <cfRule type="expression" dxfId="36" priority="3" stopIfTrue="1">
      <formula>AND(task_end&gt;=J$5,task_start&lt;K$5)</formula>
    </cfRule>
    <cfRule type="expression" dxfId="35" priority="5">
      <formula>AND(TODAY()&gt;=J$5,TODAY()&lt;K$5)</formula>
    </cfRule>
  </conditionalFormatting>
  <conditionalFormatting sqref="J8:BM85">
    <cfRule type="expression" dxfId="34" priority="2">
      <formula>AND(task_start&lt;=J$5,ROUNDDOWN((task_end-task_start+1)*task_progress,0)+task_start-1&gt;=J$5)</formula>
    </cfRule>
  </conditionalFormatting>
  <dataValidations count="1">
    <dataValidation type="list" operator="greaterThanOrEqual" allowBlank="1" showInputMessage="1" promptTitle="Display Week" sqref="F4" xr:uid="{00000000-0002-0000-0000-000000000000}">
      <formula1>weeks_used</formula1>
    </dataValidation>
  </dataValidations>
  <hyperlinks>
    <hyperlink ref="B8" location="ProjectPlan!B4" tooltip="Go to Project Planner" display="Go" xr:uid="{F5414972-98A8-4BFC-A947-D8BB4D586967}"/>
    <hyperlink ref="B14" location="ProjectPlan!B11" tooltip="Go to Project Planner" display="Go" xr:uid="{19314631-331A-4FC0-815D-7EC120277DBC}"/>
    <hyperlink ref="B20" location="ProjectPlan!B18" tooltip="Go to Project Planner" display="Go" xr:uid="{07F74782-50AE-42E0-936F-E66AC4C6B7F6}"/>
    <hyperlink ref="B26" location="ProjectPlan!B25" tooltip="Go to Project Planner" display="Go" xr:uid="{E57F9FB9-60BD-4520-81C6-C878DEF52425}"/>
    <hyperlink ref="B32" location="ProjectPlan!B32" tooltip="Go to Project Planner" display="Go" xr:uid="{336EAB53-E91D-4155-9091-81D8A489EE85}"/>
    <hyperlink ref="B38" location="ProjectPlan!B39" tooltip="Go to Project Planner" display="Go" xr:uid="{9C35DD3A-6EBB-4467-8B2C-EBD546236691}"/>
    <hyperlink ref="B44" location="ProjectPlan!B46" tooltip="Go to Project Planner" display="Go" xr:uid="{FD62BE63-40FA-4893-9028-93C22161DB50}"/>
    <hyperlink ref="B50" location="ProjectPlan!B53" tooltip="Go to Project Planner" display="Go" xr:uid="{A6EA68AD-B4EF-4AA9-8DEB-C287F8F116CA}"/>
    <hyperlink ref="B56" location="ProjectPlan!B60" tooltip="Go to Project Planner" display="Go" xr:uid="{3B20B176-C96D-48C7-A296-DD6761A2A1A0}"/>
    <hyperlink ref="B62" location="ProjectPlan!B67" tooltip="Go to Project Planner" display="Go" xr:uid="{6D583613-1BA1-49F6-862B-F20E375CAACF}"/>
    <hyperlink ref="B68" location="ProjectPlan!B74" tooltip="Go to Project Planner" display="Go" xr:uid="{E7B0517C-7717-45F5-AF32-34A55ABB6E21}"/>
    <hyperlink ref="B74" location="ProjectPlan!B81" tooltip="Go to Project Planner" display="Go" xr:uid="{743BC7C7-C86B-4ABD-A47F-FDC726723FB7}"/>
    <hyperlink ref="B80" location="ProjectPlan!B88" tooltip="Go to Project Planner" display="Go" xr:uid="{022A03CB-775E-44D1-8D8D-1DA93134A79F}"/>
  </hyperlinks>
  <printOptions horizontalCentered="1"/>
  <pageMargins left="0.35" right="0.35" top="0.35" bottom="0.5" header="0.3" footer="0.3"/>
  <pageSetup paperSize="9" scale="48" fitToHeight="0" orientation="landscape" r:id="rId1"/>
  <headerFooter differentFirst="1" scaleWithDoc="0">
    <oddFooter>Page &amp;P of &amp;N</oddFooter>
  </headerFooter>
  <ignoredErrors>
    <ignoredError sqref="B8 I8 B10:C10 B11:C11 B9:C9 E9:G9 E10:G10" calculatedColumn="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A879DDDC-536B-481B-95F6-2F83E63C5E42}">
            <x14:dataBar minLength="0" maxLength="100" border="1" gradient="0">
              <x14:cfvo type="num">
                <xm:f>0</xm:f>
              </x14:cfvo>
              <x14:cfvo type="num">
                <xm:f>1</xm:f>
              </x14:cfvo>
              <x14:borderColor theme="0" tint="-0.249977111117893"/>
              <x14:negativeFillColor rgb="FFFF0000"/>
              <x14:axisColor rgb="FF000000"/>
            </x14:dataBar>
          </x14:cfRule>
          <xm:sqref>E7:E86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A24AB-4A3A-4858-B332-1382BEBE3C74}">
  <sheetPr codeName="Sheet3"/>
  <dimension ref="B1:Z138"/>
  <sheetViews>
    <sheetView topLeftCell="B1" zoomScale="90" zoomScaleNormal="90" workbookViewId="0">
      <pane xSplit="5" ySplit="2" topLeftCell="G3" activePane="bottomRight" state="frozen"/>
      <selection activeCell="B1" sqref="B1"/>
      <selection pane="topRight" activeCell="G1" sqref="G1"/>
      <selection pane="bottomLeft" activeCell="B3" sqref="B3"/>
      <selection pane="bottomRight" activeCell="Y13" sqref="Y13"/>
    </sheetView>
  </sheetViews>
  <sheetFormatPr defaultColWidth="8.85546875" defaultRowHeight="15.75" x14ac:dyDescent="0.25"/>
  <cols>
    <col min="1" max="1" width="3.5703125" style="18" customWidth="1"/>
    <col min="2" max="2" width="6.42578125" style="73" customWidth="1"/>
    <col min="3" max="3" width="35.28515625" style="18" customWidth="1"/>
    <col min="4" max="4" width="13" style="18" bestFit="1" customWidth="1"/>
    <col min="5" max="5" width="11.85546875" style="18" bestFit="1" customWidth="1"/>
    <col min="6" max="6" width="12" style="18" bestFit="1" customWidth="1"/>
    <col min="7" max="8" width="8.42578125" style="13" customWidth="1"/>
    <col min="9" max="9" width="8.5703125" style="13" bestFit="1" customWidth="1"/>
    <col min="10" max="10" width="14.7109375" style="18" bestFit="1" customWidth="1"/>
    <col min="11" max="11" width="30.28515625" style="18" bestFit="1" customWidth="1"/>
    <col min="12" max="12" width="16.140625" style="18" bestFit="1" customWidth="1"/>
    <col min="13" max="13" width="20" style="18" bestFit="1" customWidth="1"/>
    <col min="14" max="14" width="8.5703125" style="18" bestFit="1" customWidth="1"/>
    <col min="15" max="15" width="9.42578125" style="18" bestFit="1" customWidth="1"/>
    <col min="16" max="16" width="11.42578125" style="18" bestFit="1" customWidth="1"/>
    <col min="17" max="17" width="1" style="82" hidden="1" customWidth="1"/>
    <col min="18" max="18" width="1.5703125" style="82" hidden="1" customWidth="1"/>
    <col min="19" max="19" width="1.5703125" style="82" customWidth="1"/>
    <col min="20" max="20" width="17.42578125" style="18" customWidth="1"/>
    <col min="21" max="21" width="22" style="18" customWidth="1"/>
    <col min="22" max="22" width="38.42578125" customWidth="1"/>
    <col min="23" max="23" width="11.42578125" style="18" bestFit="1" customWidth="1"/>
    <col min="24" max="24" width="3.42578125" style="18" hidden="1" customWidth="1"/>
    <col min="25" max="25" width="3.42578125" style="18" customWidth="1"/>
    <col min="26" max="26" width="19.42578125" style="18" bestFit="1" customWidth="1"/>
    <col min="27" max="16384" width="8.85546875" style="18"/>
  </cols>
  <sheetData>
    <row r="1" spans="2:26" ht="43.5" customHeight="1" thickBot="1" x14ac:dyDescent="0.45">
      <c r="B1" s="214"/>
      <c r="C1" s="215" t="str">
        <f>Information!D2</f>
        <v>New expenditure and commissions system.</v>
      </c>
      <c r="D1" s="216" t="s">
        <v>127</v>
      </c>
      <c r="E1" s="496">
        <f>Information!F2</f>
        <v>45663</v>
      </c>
      <c r="F1" s="496"/>
      <c r="G1" s="497" t="s">
        <v>23</v>
      </c>
      <c r="H1" s="498"/>
      <c r="I1" s="217"/>
      <c r="J1" s="216" t="s">
        <v>366</v>
      </c>
      <c r="K1" s="467">
        <f>MAX(tbl_project_planner[End Date])</f>
        <v>45785</v>
      </c>
      <c r="L1" s="258" t="s">
        <v>437</v>
      </c>
      <c r="M1" s="468">
        <f>SUM(tbl_AssignRole[E_Cost])</f>
        <v>7508.5</v>
      </c>
      <c r="N1" s="218"/>
      <c r="O1" s="218"/>
      <c r="P1" s="219"/>
      <c r="T1" s="14" t="s">
        <v>10</v>
      </c>
      <c r="U1" s="72" t="s">
        <v>11</v>
      </c>
    </row>
    <row r="2" spans="2:26" ht="19.5" thickBot="1" x14ac:dyDescent="0.35">
      <c r="B2" s="92" t="s">
        <v>6</v>
      </c>
      <c r="C2" s="93" t="s">
        <v>0</v>
      </c>
      <c r="D2" s="93" t="s">
        <v>8</v>
      </c>
      <c r="E2" s="94" t="s">
        <v>100</v>
      </c>
      <c r="F2" s="94" t="s">
        <v>9</v>
      </c>
      <c r="G2" s="259" t="s">
        <v>368</v>
      </c>
      <c r="H2" s="260" t="s">
        <v>370</v>
      </c>
      <c r="I2" s="159" t="s">
        <v>371</v>
      </c>
      <c r="J2" s="93" t="s">
        <v>130</v>
      </c>
      <c r="K2" s="93" t="s">
        <v>303</v>
      </c>
      <c r="L2" s="93" t="s">
        <v>28</v>
      </c>
      <c r="M2" s="93" t="s">
        <v>98</v>
      </c>
      <c r="N2" s="94" t="s">
        <v>101</v>
      </c>
      <c r="O2" s="94" t="s">
        <v>103</v>
      </c>
      <c r="P2" s="134" t="s">
        <v>26</v>
      </c>
      <c r="T2" s="2" t="s">
        <v>12</v>
      </c>
      <c r="U2" s="3" t="s">
        <v>13</v>
      </c>
    </row>
    <row r="3" spans="2:26" ht="16.5" thickBot="1" x14ac:dyDescent="0.3">
      <c r="B3" s="361" t="s">
        <v>145</v>
      </c>
      <c r="C3" s="429" t="s">
        <v>159</v>
      </c>
      <c r="D3" s="362" t="s">
        <v>95</v>
      </c>
      <c r="E3" s="363">
        <f>E1</f>
        <v>45663</v>
      </c>
      <c r="F3" s="364">
        <f>tbl_project_planner[[#This Row],[Start Date]]</f>
        <v>45663</v>
      </c>
      <c r="G3" s="341"/>
      <c r="H3" s="341"/>
      <c r="I3" s="365"/>
      <c r="J3" s="365"/>
      <c r="K3" s="366"/>
      <c r="L3" s="366"/>
      <c r="M3" s="366"/>
      <c r="N3" s="341"/>
      <c r="O3" s="341"/>
      <c r="P3" s="367">
        <f>IF(OR(tbl_project_planner[[#This Row],[End Date]]="",tbl_project_planner[[#This Row],[End Date]]="#N/A"),WEEKDAY(tbl_project_planner[[#This Row],[Start Date]],1),WEEKDAY(tbl_project_planner[[#This Row],[End Date]],1))</f>
        <v>2</v>
      </c>
      <c r="T3" s="4">
        <v>0</v>
      </c>
      <c r="U3" s="5" t="s">
        <v>14</v>
      </c>
    </row>
    <row r="4" spans="2:26" ht="16.5" thickBot="1" x14ac:dyDescent="0.3">
      <c r="B4" s="368" t="s">
        <v>60</v>
      </c>
      <c r="C4" s="18" t="s">
        <v>278</v>
      </c>
      <c r="D4" s="369" t="s">
        <v>1</v>
      </c>
      <c r="E4" s="370">
        <f>E3</f>
        <v>45663</v>
      </c>
      <c r="F4" s="371" cm="1">
        <f t="array" ref="F4">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45667</v>
      </c>
      <c r="G4" s="341">
        <v>5</v>
      </c>
      <c r="H4" s="341">
        <v>5</v>
      </c>
      <c r="I4" s="372">
        <v>1</v>
      </c>
      <c r="J4" s="373" t="s">
        <v>145</v>
      </c>
      <c r="K4" s="340"/>
      <c r="L4" s="340" t="s">
        <v>286</v>
      </c>
      <c r="M4" s="340" t="s">
        <v>105</v>
      </c>
      <c r="N4" s="374">
        <f>tbl_project_planner[[#This Row],[End Date]]-tbl_project_planner[[#This Row],[Start Date]]+1</f>
        <v>5</v>
      </c>
      <c r="O4" s="375">
        <f>COUNTIFS(tbl_staff_holidays[Date], "&gt;=" &amp; tbl_project_planner[[#This Row],[Start Date]], tbl_staff_holidays[Date], "&lt;=" &amp; tbl_project_planner[[#This Row],[End Date]], tbl_staff_holidays[Staff], tbl_project_planner[[#This Row],[Assigned To]])</f>
        <v>0</v>
      </c>
      <c r="P4" s="376">
        <f>IF(OR(tbl_project_planner[[#This Row],[End Date]]="",tbl_project_planner[[#This Row],[End Date]]="#N/A"),WEEKDAY(tbl_project_planner[[#This Row],[Start Date]],1),WEEKDAY(tbl_project_planner[[#This Row],[End Date]],1))</f>
        <v>6</v>
      </c>
      <c r="Q4" s="82" t="str" cm="1">
        <f t="array" ref="Q4">IFERROR(_xlfn.UNIQUE(_xlfn._xlws.FILTER(tbl_staff_list[RoleRef],tbl_staff_list[Role]=tbl_project_planner[[#This Row],[Role]],),,),"")</f>
        <v>RoleRef_8</v>
      </c>
      <c r="R4" s="82" t="b" cm="1">
        <f t="array" ref="R4">IFERROR(IF(ISNUMBER(MATCH(tbl_project_planner[[#This Row],[Assigned To]], _xlfn._xlws.FILTER(tbl_staff_list[Name], tbl_staff_list[Role] = tbl_project_planner[[#This Row],[Role]]), 0)), FALSE, TRUE), "No Staff Assigned")</f>
        <v>0</v>
      </c>
      <c r="T4" s="6">
        <v>0.1</v>
      </c>
      <c r="U4" s="7" t="s">
        <v>15</v>
      </c>
    </row>
    <row r="5" spans="2:26" x14ac:dyDescent="0.25">
      <c r="B5" s="440" t="s">
        <v>61</v>
      </c>
      <c r="C5" s="18" t="s">
        <v>180</v>
      </c>
      <c r="D5" s="369" t="s">
        <v>2</v>
      </c>
      <c r="E5" s="370" cm="1">
        <f t="array" ref="E5">WORKDAY.INTL(
    MAX(
        IFERROR(
            INDEX(tbl_project_planner[End Date], MATCH(tbl_project_planner[[#This Row],[Dependency]], tbl_project_planner[Ref], 0)),
            0
        ),
        IFERROR(
            MAX(_xlfn._xlws.FILTER(tbl_project_planner[End Date], (tbl_project_planner[Role] = tbl_project_planner[[#This Row],[Assigned To]]) * (tbl_project_planner[Ref] &lt; tbl_project_planner[[#This Row],[Ref]]))),
            0
        )
    ),
    1,
    ,
    _xlfn._xlws.SORT(
        _xlfn.VSTACK(
            _xlfn._xlws.FILTER(tbl_staff_holidays[Date], tbl_staff_holidays[Staff] = tbl_project_planner[[#This Row],[Assigned To]]),
            tbl_bank_holidays[Date]
        )
    )
)</f>
        <v>45670</v>
      </c>
      <c r="F5" s="377" cm="1">
        <f t="array" ref="F5">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45674</v>
      </c>
      <c r="G5" s="341">
        <v>5</v>
      </c>
      <c r="H5" s="341">
        <v>6</v>
      </c>
      <c r="I5" s="372">
        <v>1</v>
      </c>
      <c r="J5" s="341" t="s">
        <v>60</v>
      </c>
      <c r="K5" s="340" t="s">
        <v>302</v>
      </c>
      <c r="L5" s="340" t="s">
        <v>281</v>
      </c>
      <c r="M5" s="340" t="s">
        <v>112</v>
      </c>
      <c r="N5" s="378">
        <f>tbl_project_planner[[#This Row],[End Date]]-tbl_project_planner[[#This Row],[Start Date]]+1</f>
        <v>5</v>
      </c>
      <c r="O5" s="379">
        <f>COUNTIFS(tbl_staff_holidays[Date], "&gt;=" &amp; tbl_project_planner[[#This Row],[Start Date]], tbl_staff_holidays[Date], "&lt;=" &amp; tbl_project_planner[[#This Row],[End Date]], tbl_staff_holidays[Staff], tbl_project_planner[[#This Row],[Assigned To]])</f>
        <v>0</v>
      </c>
      <c r="P5" s="376">
        <f>IF(OR(tbl_project_planner[[#This Row],[End Date]]="",tbl_project_planner[[#This Row],[End Date]]="#N/A"),WEEKDAY(tbl_project_planner[[#This Row],[Start Date]],1),WEEKDAY(tbl_project_planner[[#This Row],[End Date]],1))</f>
        <v>6</v>
      </c>
      <c r="Q5" s="82" t="str" cm="1">
        <f t="array" ref="Q5">IFERROR(_xlfn.UNIQUE(_xlfn._xlws.FILTER(tbl_staff_list[RoleRef],tbl_staff_list[Role]=tbl_project_planner[[#This Row],[Role]],),,),"")</f>
        <v>RoleRef_3</v>
      </c>
      <c r="R5" s="82" t="b" cm="1">
        <f t="array" ref="R5">IFERROR(IF(ISNUMBER(MATCH(tbl_project_planner[[#This Row],[Assigned To]], _xlfn._xlws.FILTER(tbl_staff_list[Name], tbl_staff_list[Role] = tbl_project_planner[[#This Row],[Role]]), 0)), FALSE, TRUE), "No Staff Assigned")</f>
        <v>0</v>
      </c>
      <c r="T5" s="6">
        <v>0.2</v>
      </c>
      <c r="U5" s="8" t="s">
        <v>16</v>
      </c>
    </row>
    <row r="6" spans="2:26" x14ac:dyDescent="0.25">
      <c r="B6" s="440" t="s">
        <v>62</v>
      </c>
      <c r="C6" s="18" t="s">
        <v>335</v>
      </c>
      <c r="D6" s="369" t="s">
        <v>3</v>
      </c>
      <c r="E6" s="370" cm="1">
        <f t="array" ref="E6">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45677</v>
      </c>
      <c r="F6" s="377" cm="1">
        <f t="array" ref="F6">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45681</v>
      </c>
      <c r="G6" s="341">
        <v>5</v>
      </c>
      <c r="H6" s="341">
        <v>5</v>
      </c>
      <c r="I6" s="372">
        <v>1</v>
      </c>
      <c r="J6" s="341" t="s">
        <v>61</v>
      </c>
      <c r="K6" s="340"/>
      <c r="L6" s="340" t="s">
        <v>281</v>
      </c>
      <c r="M6" s="340" t="s">
        <v>112</v>
      </c>
      <c r="N6" s="378">
        <f>tbl_project_planner[[#This Row],[End Date]]-tbl_project_planner[[#This Row],[Start Date]]+1</f>
        <v>5</v>
      </c>
      <c r="O6" s="379">
        <f>COUNTIFS(tbl_staff_holidays[Date], "&gt;=" &amp; tbl_project_planner[[#This Row],[Start Date]], tbl_staff_holidays[Date], "&lt;=" &amp; tbl_project_planner[[#This Row],[End Date]], tbl_staff_holidays[Staff], tbl_project_planner[[#This Row],[Assigned To]])</f>
        <v>0</v>
      </c>
      <c r="P6" s="376">
        <f>IF(OR(tbl_project_planner[[#This Row],[End Date]]="",tbl_project_planner[[#This Row],[End Date]]="#N/A"),WEEKDAY(tbl_project_planner[[#This Row],[Start Date]],1),WEEKDAY(tbl_project_planner[[#This Row],[End Date]],1))</f>
        <v>6</v>
      </c>
      <c r="Q6" s="82" t="str" cm="1">
        <f t="array" ref="Q6">IFERROR(_xlfn.UNIQUE(_xlfn._xlws.FILTER(tbl_staff_list[RoleRef],tbl_staff_list[Role]=tbl_project_planner[[#This Row],[Role]],),,),"")</f>
        <v>RoleRef_3</v>
      </c>
      <c r="R6" s="82" t="b" cm="1">
        <f t="array" ref="R6">IFERROR(IF(ISNUMBER(MATCH(tbl_project_planner[[#This Row],[Assigned To]], _xlfn._xlws.FILTER(tbl_staff_list[Name], tbl_staff_list[Role] = tbl_project_planner[[#This Row],[Role]]), 0)), FALSE, TRUE), "No Staff Assigned")</f>
        <v>0</v>
      </c>
      <c r="T6" s="6">
        <v>0.25</v>
      </c>
      <c r="U6" s="8" t="s">
        <v>17</v>
      </c>
    </row>
    <row r="7" spans="2:26" x14ac:dyDescent="0.25">
      <c r="B7" s="440" t="s">
        <v>63</v>
      </c>
      <c r="C7" s="18" t="s">
        <v>181</v>
      </c>
      <c r="D7" s="369" t="s">
        <v>4</v>
      </c>
      <c r="E7" s="370" cm="1">
        <f t="array" ref="E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45677</v>
      </c>
      <c r="F7" s="377" cm="1">
        <f t="array" ref="F7">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45681</v>
      </c>
      <c r="G7" s="341">
        <v>5</v>
      </c>
      <c r="H7" s="341">
        <v>3</v>
      </c>
      <c r="I7" s="372">
        <v>0.95</v>
      </c>
      <c r="J7" s="341" t="s">
        <v>61</v>
      </c>
      <c r="K7" s="340"/>
      <c r="L7" s="340" t="s">
        <v>286</v>
      </c>
      <c r="M7" s="340" t="s">
        <v>105</v>
      </c>
      <c r="N7" s="378">
        <f>tbl_project_planner[[#This Row],[End Date]]-tbl_project_planner[[#This Row],[Start Date]]+1</f>
        <v>5</v>
      </c>
      <c r="O7" s="379">
        <f>COUNTIFS(tbl_staff_holidays[Date], "&gt;=" &amp; tbl_project_planner[[#This Row],[Start Date]], tbl_staff_holidays[Date], "&lt;=" &amp; tbl_project_planner[[#This Row],[End Date]], tbl_staff_holidays[Staff], tbl_project_planner[[#This Row],[Assigned To]])</f>
        <v>0</v>
      </c>
      <c r="P7" s="376">
        <f>IF(OR(tbl_project_planner[[#This Row],[End Date]]="",tbl_project_planner[[#This Row],[End Date]]="#N/A"),WEEKDAY(tbl_project_planner[[#This Row],[Start Date]],1),WEEKDAY(tbl_project_planner[[#This Row],[End Date]],1))</f>
        <v>6</v>
      </c>
      <c r="Q7" s="82" t="str" cm="1">
        <f t="array" ref="Q7">IFERROR(_xlfn.UNIQUE(_xlfn._xlws.FILTER(tbl_staff_list[RoleRef],tbl_staff_list[Role]=tbl_project_planner[[#This Row],[Role]],),,),"")</f>
        <v>RoleRef_8</v>
      </c>
      <c r="R7" s="82" t="b" cm="1">
        <f t="array" ref="R7">IFERROR(IF(ISNUMBER(MATCH(tbl_project_planner[[#This Row],[Assigned To]], _xlfn._xlws.FILTER(tbl_staff_list[Name], tbl_staff_list[Role] = tbl_project_planner[[#This Row],[Role]]), 0)), FALSE, TRUE), "No Staff Assigned")</f>
        <v>0</v>
      </c>
      <c r="T7" s="6">
        <v>0.5</v>
      </c>
      <c r="U7" s="8" t="s">
        <v>18</v>
      </c>
    </row>
    <row r="8" spans="2:26" ht="16.5" thickBot="1" x14ac:dyDescent="0.3">
      <c r="B8" s="440" t="s">
        <v>64</v>
      </c>
      <c r="C8" s="430" t="s">
        <v>334</v>
      </c>
      <c r="D8" s="369" t="s">
        <v>5</v>
      </c>
      <c r="E8" s="370" cm="1">
        <f t="array" ref="E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45684</v>
      </c>
      <c r="F8" s="380" cm="1">
        <f t="array" ref="F8">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45687</v>
      </c>
      <c r="G8" s="341">
        <v>4</v>
      </c>
      <c r="H8" s="341">
        <v>5</v>
      </c>
      <c r="I8" s="372">
        <v>0.95</v>
      </c>
      <c r="J8" s="341" t="s">
        <v>63</v>
      </c>
      <c r="K8" s="340"/>
      <c r="L8" s="340" t="s">
        <v>426</v>
      </c>
      <c r="M8" s="340" t="s">
        <v>112</v>
      </c>
      <c r="N8" s="378">
        <f>tbl_project_planner[[#This Row],[End Date]]-tbl_project_planner[[#This Row],[Start Date]]+1</f>
        <v>4</v>
      </c>
      <c r="O8" s="381">
        <f>COUNTIFS(tbl_staff_holidays[Date], "&gt;=" &amp; tbl_project_planner[[#This Row],[Start Date]], tbl_staff_holidays[Date], "&lt;=" &amp; tbl_project_planner[[#This Row],[End Date]], tbl_staff_holidays[Staff], tbl_project_planner[[#This Row],[Assigned To]])</f>
        <v>0</v>
      </c>
      <c r="P8" s="376">
        <f>IF(OR(tbl_project_planner[[#This Row],[End Date]]="",tbl_project_planner[[#This Row],[End Date]]="#N/A"),WEEKDAY(tbl_project_planner[[#This Row],[Start Date]],1),WEEKDAY(tbl_project_planner[[#This Row],[End Date]],1))</f>
        <v>5</v>
      </c>
      <c r="Q8" s="82" t="str" cm="1">
        <f t="array" ref="Q8">IFERROR(_xlfn.UNIQUE(_xlfn._xlws.FILTER(tbl_staff_list[RoleRef],tbl_staff_list[Role]=tbl_project_planner[[#This Row],[Role]],),,),"")</f>
        <v>RoleRef_3</v>
      </c>
      <c r="R8" s="82" t="b" cm="1">
        <f t="array" ref="R8">IFERROR(IF(ISNUMBER(MATCH(tbl_project_planner[[#This Row],[Assigned To]], _xlfn._xlws.FILTER(tbl_staff_list[Name], tbl_staff_list[Role] = tbl_project_planner[[#This Row],[Role]]), 0)), FALSE, TRUE), "No Staff Assigned")</f>
        <v>0</v>
      </c>
      <c r="T8" s="6">
        <v>0.8</v>
      </c>
      <c r="U8" s="8" t="s">
        <v>19</v>
      </c>
    </row>
    <row r="9" spans="2:26" ht="16.5" thickTop="1" x14ac:dyDescent="0.25">
      <c r="B9" s="441"/>
      <c r="C9" s="431"/>
      <c r="D9" s="382" t="s">
        <v>90</v>
      </c>
      <c r="E9" s="383">
        <f>MAX(F4:F8)</f>
        <v>45687</v>
      </c>
      <c r="F9" s="384"/>
      <c r="G9" s="385">
        <f>SUMIF($I4:$I8,"&lt;&gt;N/A",G4:G8)</f>
        <v>24</v>
      </c>
      <c r="H9" s="385">
        <f>SUMIF($I4:$I8,"&lt;&gt;N/A",H4:H8)</f>
        <v>24</v>
      </c>
      <c r="I9" s="386"/>
      <c r="J9" s="386"/>
      <c r="K9" s="387"/>
      <c r="L9" s="387"/>
      <c r="M9" s="387"/>
      <c r="N9" s="388">
        <f>SUM(N3:N8)</f>
        <v>24</v>
      </c>
      <c r="O9" s="386"/>
      <c r="P9" s="389">
        <f>IF(OR(tbl_project_planner[[#This Row],[End Date]]="",tbl_project_planner[[#This Row],[End Date]]="#N/A"),WEEKDAY(tbl_project_planner[[#This Row],[Start Date]],1),WEEKDAY(tbl_project_planner[[#This Row],[End Date]],1))</f>
        <v>5</v>
      </c>
      <c r="Q9" s="82" t="str" cm="1">
        <f t="array" ref="Q9">IFERROR(_xlfn.UNIQUE(_xlfn._xlws.FILTER(tbl_staff_list[RoleRef],tbl_staff_list[Role]=tbl_project_planner[[#This Row],[Role]],),,),"")</f>
        <v/>
      </c>
      <c r="T9" s="9">
        <v>0.9</v>
      </c>
      <c r="U9" s="10" t="s">
        <v>20</v>
      </c>
    </row>
    <row r="10" spans="2:26" x14ac:dyDescent="0.25">
      <c r="B10" s="442" t="s">
        <v>182</v>
      </c>
      <c r="C10" s="432" t="s">
        <v>183</v>
      </c>
      <c r="D10" s="362" t="s">
        <v>30</v>
      </c>
      <c r="E10" s="363" cm="1">
        <f t="array" ref="E1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45677</v>
      </c>
      <c r="F10" s="390"/>
      <c r="G10" s="391"/>
      <c r="H10" s="391"/>
      <c r="I10" s="391"/>
      <c r="J10" s="391" t="s">
        <v>145</v>
      </c>
      <c r="K10" s="392"/>
      <c r="L10" s="392"/>
      <c r="M10" s="392"/>
      <c r="N10" s="393"/>
      <c r="O10" s="393"/>
      <c r="P10" s="367">
        <f>IF(OR(tbl_project_planner[[#This Row],[End Date]]="",tbl_project_planner[[#This Row],[End Date]]="#N/A"),WEEKDAY(tbl_project_planner[[#This Row],[Start Date]],1),WEEKDAY(tbl_project_planner[[#This Row],[End Date]],1))</f>
        <v>2</v>
      </c>
      <c r="Q10" s="82" t="str" cm="1">
        <f t="array" ref="Q10">IFERROR(_xlfn.UNIQUE(_xlfn._xlws.FILTER(tbl_staff_list[RoleRef],tbl_staff_list[Role]=tbl_project_planner[[#This Row],[Role]],),,),"")</f>
        <v/>
      </c>
      <c r="T10" s="9">
        <v>0.95</v>
      </c>
      <c r="U10" s="10" t="s">
        <v>21</v>
      </c>
    </row>
    <row r="11" spans="2:26" x14ac:dyDescent="0.25">
      <c r="B11" s="443" t="s">
        <v>65</v>
      </c>
      <c r="C11" s="433" t="s">
        <v>184</v>
      </c>
      <c r="D11" s="369" t="s">
        <v>1</v>
      </c>
      <c r="E11" s="370" cm="1">
        <f t="array" ref="E1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45688</v>
      </c>
      <c r="F11" s="371" cm="1">
        <f t="array" ref="F11">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45699</v>
      </c>
      <c r="G11" s="395">
        <v>8</v>
      </c>
      <c r="H11" s="395">
        <v>10</v>
      </c>
      <c r="I11" s="396">
        <v>0.95</v>
      </c>
      <c r="J11" s="395" t="s">
        <v>64</v>
      </c>
      <c r="K11" s="394"/>
      <c r="L11" s="394" t="s">
        <v>281</v>
      </c>
      <c r="M11" s="394" t="s">
        <v>112</v>
      </c>
      <c r="N11" s="374">
        <f>tbl_project_planner[[#This Row],[End Date]]-tbl_project_planner[[#This Row],[Start Date]]+1</f>
        <v>12</v>
      </c>
      <c r="O11" s="375">
        <f>COUNTIFS(tbl_staff_holidays[Date], "&gt;=" &amp; tbl_project_planner[[#This Row],[Start Date]], tbl_staff_holidays[Date], "&lt;=" &amp; tbl_project_planner[[#This Row],[End Date]], tbl_staff_holidays[Staff], tbl_project_planner[[#This Row],[Assigned To]])</f>
        <v>0</v>
      </c>
      <c r="P11" s="376">
        <f>IF(OR(tbl_project_planner[[#This Row],[End Date]]="",tbl_project_planner[[#This Row],[End Date]]="#N/A"),WEEKDAY(tbl_project_planner[[#This Row],[Start Date]],1),WEEKDAY(tbl_project_planner[[#This Row],[End Date]],1))</f>
        <v>3</v>
      </c>
      <c r="Q11" s="82" t="str" cm="1">
        <f t="array" ref="Q11">IFERROR(_xlfn.UNIQUE(_xlfn._xlws.FILTER(tbl_staff_list[RoleRef],tbl_staff_list[Role]=tbl_project_planner[[#This Row],[Role]],),,),"")</f>
        <v>RoleRef_3</v>
      </c>
      <c r="R11" s="82" t="b" cm="1">
        <f t="array" ref="R11">IFERROR(IF(ISNUMBER(MATCH(tbl_project_planner[[#This Row],[Assigned To]], _xlfn._xlws.FILTER(tbl_staff_list[Name], tbl_staff_list[Role] = tbl_project_planner[[#This Row],[Role]]), 0)), FALSE, TRUE), "No Staff Assigned")</f>
        <v>0</v>
      </c>
      <c r="T11" s="9">
        <v>1</v>
      </c>
      <c r="U11" s="10" t="s">
        <v>22</v>
      </c>
    </row>
    <row r="12" spans="2:26" ht="16.5" thickBot="1" x14ac:dyDescent="0.3">
      <c r="B12" s="443" t="s">
        <v>66</v>
      </c>
      <c r="C12" s="433" t="s">
        <v>102</v>
      </c>
      <c r="D12" s="369" t="s">
        <v>2</v>
      </c>
      <c r="E12" s="370" cm="1">
        <f t="array" ref="E1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45684</v>
      </c>
      <c r="F12" s="377" cm="1">
        <f t="array" ref="F12">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45707</v>
      </c>
      <c r="G12" s="395">
        <v>11</v>
      </c>
      <c r="H12" s="395">
        <v>10</v>
      </c>
      <c r="I12" s="396">
        <v>1</v>
      </c>
      <c r="J12" s="395" t="s">
        <v>62</v>
      </c>
      <c r="K12" s="394"/>
      <c r="L12" s="394" t="s">
        <v>294</v>
      </c>
      <c r="M12" s="394" t="s">
        <v>111</v>
      </c>
      <c r="N12" s="378">
        <f>tbl_project_planner[[#This Row],[End Date]]-tbl_project_planner[[#This Row],[Start Date]]+1</f>
        <v>24</v>
      </c>
      <c r="O12" s="379">
        <f>COUNTIFS(tbl_staff_holidays[Date], "&gt;=" &amp; tbl_project_planner[[#This Row],[Start Date]], tbl_staff_holidays[Date], "&lt;=" &amp; tbl_project_planner[[#This Row],[End Date]], tbl_staff_holidays[Staff], tbl_project_planner[[#This Row],[Assigned To]])</f>
        <v>7</v>
      </c>
      <c r="P12" s="376">
        <f>IF(OR(tbl_project_planner[[#This Row],[End Date]]="",tbl_project_planner[[#This Row],[End Date]]="#N/A"),WEEKDAY(tbl_project_planner[[#This Row],[Start Date]],1),WEEKDAY(tbl_project_planner[[#This Row],[End Date]],1))</f>
        <v>4</v>
      </c>
      <c r="Q12" s="82" t="str" cm="1">
        <f t="array" ref="Q12">IFERROR(_xlfn.UNIQUE(_xlfn._xlws.FILTER(tbl_staff_list[RoleRef],tbl_staff_list[Role]=tbl_project_planner[[#This Row],[Role]],),,),"")</f>
        <v>RoleRef_9</v>
      </c>
      <c r="R12" s="82" t="b" cm="1">
        <f t="array" ref="R12">IFERROR(IF(ISNUMBER(MATCH(tbl_project_planner[[#This Row],[Assigned To]], _xlfn._xlws.FILTER(tbl_staff_list[Name], tbl_staff_list[Role] = tbl_project_planner[[#This Row],[Role]]), 0)), FALSE, TRUE), "No Staff Assigned")</f>
        <v>0</v>
      </c>
      <c r="X12" s="18" t="str" cm="1">
        <f t="array" ref="X12">IFERROR(_xlfn.UNIQUE(_xlfn._xlws.FILTER(tbl_staff_list[RoleRef],tbl_staff_list[Role]=(_xlfn.XLOOKUP(T15,tbl_AssignRole[Ref],tbl_AssignRole[Role],"None")),),,),"")</f>
        <v>RoleRef_9</v>
      </c>
    </row>
    <row r="13" spans="2:26" ht="16.5" thickBot="1" x14ac:dyDescent="0.3">
      <c r="B13" s="443" t="s">
        <v>67</v>
      </c>
      <c r="C13" s="433" t="s">
        <v>176</v>
      </c>
      <c r="D13" s="369" t="s">
        <v>3</v>
      </c>
      <c r="E13" s="370" cm="1">
        <f t="array" ref="E13">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45688</v>
      </c>
      <c r="F13" s="377" cm="1">
        <f t="array" ref="F13">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45698</v>
      </c>
      <c r="G13" s="395">
        <v>7</v>
      </c>
      <c r="H13" s="395">
        <v>5</v>
      </c>
      <c r="I13" s="396">
        <v>0.95</v>
      </c>
      <c r="J13" s="395" t="s">
        <v>64</v>
      </c>
      <c r="K13" s="394"/>
      <c r="L13" s="394" t="s">
        <v>282</v>
      </c>
      <c r="M13" s="394" t="s">
        <v>114</v>
      </c>
      <c r="N13" s="378">
        <f>tbl_project_planner[[#This Row],[End Date]]-tbl_project_planner[[#This Row],[Start Date]]+1</f>
        <v>11</v>
      </c>
      <c r="O13" s="379">
        <f>COUNTIFS(tbl_staff_holidays[Date], "&gt;=" &amp; tbl_project_planner[[#This Row],[Start Date]], tbl_staff_holidays[Date], "&lt;=" &amp; tbl_project_planner[[#This Row],[End Date]], tbl_staff_holidays[Staff], tbl_project_planner[[#This Row],[Assigned To]])</f>
        <v>0</v>
      </c>
      <c r="P13" s="376">
        <f>IF(OR(tbl_project_planner[[#This Row],[End Date]]="",tbl_project_planner[[#This Row],[End Date]]="#N/A"),WEEKDAY(tbl_project_planner[[#This Row],[Start Date]],1),WEEKDAY(tbl_project_planner[[#This Row],[End Date]],1))</f>
        <v>2</v>
      </c>
      <c r="Q13" s="82" t="str" cm="1">
        <f t="array" ref="Q13">IFERROR(_xlfn.UNIQUE(_xlfn._xlws.FILTER(tbl_staff_list[RoleRef],tbl_staff_list[Role]=tbl_project_planner[[#This Row],[Role]],),,),"")</f>
        <v>RoleRef_4</v>
      </c>
      <c r="R13" s="82" t="b" cm="1">
        <f t="array" ref="R13">IFERROR(IF(ISNUMBER(MATCH(tbl_project_planner[[#This Row],[Assigned To]], _xlfn._xlws.FILTER(tbl_staff_list[Name], tbl_staff_list[Role] = tbl_project_planner[[#This Row],[Role]]), 0)), FALSE, TRUE), "No Staff Assigned")</f>
        <v>0</v>
      </c>
      <c r="T13" s="499" t="s">
        <v>376</v>
      </c>
      <c r="U13" s="500"/>
      <c r="V13" s="408" t="str">
        <f>IF(X13,"*Re-select Task Ref","How many days prior to start date to check:")</f>
        <v>How many days prior to start date to check:</v>
      </c>
      <c r="W13" s="193">
        <v>21</v>
      </c>
      <c r="X13">
        <f>IF(ISNUMBER(MATCH(T15,B4:B92,0)),0,1)</f>
        <v>0</v>
      </c>
      <c r="Y13" s="472">
        <f>X13</f>
        <v>0</v>
      </c>
      <c r="Z13" s="470" t="str">
        <f>_xlfn.XLOOKUP(T15,tbl_AssignRole[Ref],tbl_AssignRole[Role],"None")</f>
        <v>Server Developer</v>
      </c>
    </row>
    <row r="14" spans="2:26" x14ac:dyDescent="0.25">
      <c r="B14" s="443" t="s">
        <v>68</v>
      </c>
      <c r="C14" s="433" t="s">
        <v>185</v>
      </c>
      <c r="D14" s="369" t="s">
        <v>4</v>
      </c>
      <c r="E14" s="370" cm="1">
        <f t="array" ref="E14">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45699</v>
      </c>
      <c r="F14" s="377" cm="1">
        <f t="array" ref="F14">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45702</v>
      </c>
      <c r="G14" s="395">
        <v>4</v>
      </c>
      <c r="H14" s="395">
        <v>3</v>
      </c>
      <c r="I14" s="396">
        <v>0.95</v>
      </c>
      <c r="J14" s="395" t="s">
        <v>67</v>
      </c>
      <c r="K14" s="394"/>
      <c r="L14" s="394" t="s">
        <v>286</v>
      </c>
      <c r="M14" s="394" t="s">
        <v>105</v>
      </c>
      <c r="N14" s="378">
        <f>tbl_project_planner[[#This Row],[End Date]]-tbl_project_planner[[#This Row],[Start Date]]+1</f>
        <v>4</v>
      </c>
      <c r="O14" s="379">
        <f>COUNTIFS(tbl_staff_holidays[Date], "&gt;=" &amp; tbl_project_planner[[#This Row],[Start Date]], tbl_staff_holidays[Date], "&lt;=" &amp; tbl_project_planner[[#This Row],[End Date]], tbl_staff_holidays[Staff], tbl_project_planner[[#This Row],[Assigned To]])</f>
        <v>0</v>
      </c>
      <c r="P14" s="376">
        <f>IF(OR(tbl_project_planner[[#This Row],[End Date]]="",tbl_project_planner[[#This Row],[End Date]]="#N/A"),WEEKDAY(tbl_project_planner[[#This Row],[Start Date]],1),WEEKDAY(tbl_project_planner[[#This Row],[End Date]],1))</f>
        <v>6</v>
      </c>
      <c r="Q14" s="82" t="str" cm="1">
        <f t="array" ref="Q14">IFERROR(_xlfn.UNIQUE(_xlfn._xlws.FILTER(tbl_staff_list[RoleRef],tbl_staff_list[Role]=tbl_project_planner[[#This Row],[Role]],),,),"")</f>
        <v>RoleRef_8</v>
      </c>
      <c r="R14" s="82" t="b" cm="1">
        <f t="array" ref="R14">IFERROR(IF(ISNUMBER(MATCH(tbl_project_planner[[#This Row],[Assigned To]], _xlfn._xlws.FILTER(tbl_staff_list[Name], tbl_staff_list[Role] = tbl_project_planner[[#This Row],[Role]]), 0)), FALSE, TRUE), "No Staff Assigned")</f>
        <v>0</v>
      </c>
      <c r="T14" s="104" t="s">
        <v>377</v>
      </c>
      <c r="U14" s="104" t="s">
        <v>28</v>
      </c>
      <c r="V14" s="169" t="s">
        <v>378</v>
      </c>
      <c r="W14" s="104" t="s">
        <v>379</v>
      </c>
      <c r="X14" s="191"/>
      <c r="Y14"/>
      <c r="Z14" s="182" t="s">
        <v>363</v>
      </c>
    </row>
    <row r="15" spans="2:26" ht="16.5" thickBot="1" x14ac:dyDescent="0.3">
      <c r="B15" s="443" t="s">
        <v>69</v>
      </c>
      <c r="C15" s="433" t="s">
        <v>186</v>
      </c>
      <c r="D15" s="369" t="s">
        <v>5</v>
      </c>
      <c r="E15" s="370" cm="1">
        <f t="array" ref="E15">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45705</v>
      </c>
      <c r="F15" s="380" cm="1">
        <f t="array" ref="F15">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45706</v>
      </c>
      <c r="G15" s="395">
        <v>2</v>
      </c>
      <c r="H15" s="395">
        <v>2</v>
      </c>
      <c r="I15" s="396">
        <v>0.1</v>
      </c>
      <c r="J15" s="395" t="s">
        <v>68</v>
      </c>
      <c r="K15" s="394"/>
      <c r="L15" s="394" t="s">
        <v>281</v>
      </c>
      <c r="M15" s="394" t="s">
        <v>112</v>
      </c>
      <c r="N15" s="378">
        <f>tbl_project_planner[[#This Row],[End Date]]-tbl_project_planner[[#This Row],[Start Date]]+1</f>
        <v>2</v>
      </c>
      <c r="O15" s="381">
        <f>COUNTIFS(tbl_staff_holidays[Date], "&gt;=" &amp; tbl_project_planner[[#This Row],[Start Date]], tbl_staff_holidays[Date], "&lt;=" &amp; tbl_project_planner[[#This Row],[End Date]], tbl_staff_holidays[Staff], tbl_project_planner[[#This Row],[Assigned To]])</f>
        <v>0</v>
      </c>
      <c r="P15" s="376">
        <f>IF(OR(tbl_project_planner[[#This Row],[End Date]]="",tbl_project_planner[[#This Row],[End Date]]="#N/A"),WEEKDAY(tbl_project_planner[[#This Row],[Start Date]],1),WEEKDAY(tbl_project_planner[[#This Row],[End Date]],1))</f>
        <v>3</v>
      </c>
      <c r="Q15" s="82" t="str" cm="1">
        <f t="array" ref="Q15">IFERROR(_xlfn.UNIQUE(_xlfn._xlws.FILTER(tbl_staff_list[RoleRef],tbl_staff_list[Role]=tbl_project_planner[[#This Row],[Role]],),,),"")</f>
        <v>RoleRef_3</v>
      </c>
      <c r="R15" s="82" t="b" cm="1">
        <f t="array" ref="R15">IFERROR(IF(ISNUMBER(MATCH(tbl_project_planner[[#This Row],[Assigned To]], _xlfn._xlws.FILTER(tbl_staff_list[Name], tbl_staff_list[Role] = tbl_project_planner[[#This Row],[Role]]), 0)), FALSE, TRUE), "No Staff Assigned")</f>
        <v>0</v>
      </c>
      <c r="T15" s="175" t="s">
        <v>66</v>
      </c>
      <c r="U15" s="469" t="str">
        <f>_xlfn.XLOOKUP(T15,tbl_AssignRole[Ref],tbl_AssignRole[Assigned],"None")</f>
        <v>Adam Kowalski</v>
      </c>
      <c r="V15" s="331" cm="1">
        <f t="array" ref="V15:W15">_xlfn.XLOOKUP(T15,tbl_AssignRole[Ref],tbl_AssignRole[Start_date]:tbl_AssignRole[End_Date],"None")</f>
        <v>45684</v>
      </c>
      <c r="W15" s="190">
        <v>45707</v>
      </c>
      <c r="X15" s="192"/>
      <c r="Y15"/>
      <c r="Z15" s="404" t="str" cm="1">
        <f t="array" aca="1" ref="Z15" ca="1">INDIRECT($X$12)</f>
        <v>No Staff Assigned</v>
      </c>
    </row>
    <row r="16" spans="2:26" ht="16.5" thickTop="1" x14ac:dyDescent="0.25">
      <c r="B16" s="441"/>
      <c r="C16" s="431"/>
      <c r="D16" s="382" t="s">
        <v>90</v>
      </c>
      <c r="E16" s="383">
        <f>MAX(F11:F15)</f>
        <v>45707</v>
      </c>
      <c r="F16" s="397"/>
      <c r="G16" s="385">
        <f>SUMIF($I11:$I15,"&lt;&gt;N/A",G11:G15)</f>
        <v>32</v>
      </c>
      <c r="H16" s="385">
        <f>SUMIF($I11:$I15,"&lt;&gt;N/A",H11:H15)</f>
        <v>30</v>
      </c>
      <c r="I16" s="398"/>
      <c r="J16" s="398"/>
      <c r="K16" s="399"/>
      <c r="L16" s="399"/>
      <c r="M16" s="399"/>
      <c r="N16" s="388">
        <f>SUM(N10:N15)</f>
        <v>53</v>
      </c>
      <c r="O16" s="400"/>
      <c r="P16" s="389">
        <f>IF(OR(tbl_project_planner[[#This Row],[End Date]]="",tbl_project_planner[[#This Row],[End Date]]="#N/A"),WEEKDAY(tbl_project_planner[[#This Row],[Start Date]],1),WEEKDAY(tbl_project_planner[[#This Row],[End Date]],1))</f>
        <v>4</v>
      </c>
      <c r="Q16" s="82" t="str" cm="1">
        <f t="array" ref="Q16">IFERROR(_xlfn.UNIQUE(_xlfn._xlws.FILTER(tbl_staff_list[RoleRef],tbl_staff_list[Role]=tbl_project_planner[[#This Row],[Role]],),,),"")</f>
        <v/>
      </c>
      <c r="T16" s="104" t="s">
        <v>7</v>
      </c>
      <c r="U16" s="104" t="s">
        <v>380</v>
      </c>
      <c r="V16" s="104" t="s">
        <v>27</v>
      </c>
      <c r="W16" s="104"/>
      <c r="X16" s="191"/>
      <c r="Y16"/>
    </row>
    <row r="17" spans="2:25" x14ac:dyDescent="0.25">
      <c r="B17" s="444" t="s">
        <v>187</v>
      </c>
      <c r="C17" s="429" t="s">
        <v>188</v>
      </c>
      <c r="D17" s="362" t="s">
        <v>30</v>
      </c>
      <c r="E17" s="363" cm="1">
        <f t="array" ref="E1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45677</v>
      </c>
      <c r="F17" s="401"/>
      <c r="G17" s="365"/>
      <c r="H17" s="365"/>
      <c r="I17" s="365"/>
      <c r="J17" s="365" t="s">
        <v>145</v>
      </c>
      <c r="K17" s="366"/>
      <c r="L17" s="366"/>
      <c r="M17" s="366"/>
      <c r="N17" s="341"/>
      <c r="O17" s="341"/>
      <c r="P17" s="367">
        <f>IF(OR(tbl_project_planner[[#This Row],[End Date]]="",tbl_project_planner[[#This Row],[End Date]]="#N/A"),WEEKDAY(tbl_project_planner[[#This Row],[Start Date]],1),WEEKDAY(tbl_project_planner[[#This Row],[End Date]],1))</f>
        <v>2</v>
      </c>
      <c r="Q17" s="82" t="str" cm="1">
        <f t="array" ref="Q17">IFERROR(_xlfn.UNIQUE(_xlfn._xlws.FILTER(tbl_staff_list[RoleRef],tbl_staff_list[Role]=tbl_project_planner[[#This Row],[Role]],),,),"")</f>
        <v/>
      </c>
      <c r="T17" s="471" cm="1">
        <f t="array" ref="T17:V24">IF(
    X13,
    "",
    _xlfn._xlws.SORT(
        _xlfn.VSTACK(
            IFERROR(
                _xlfn._xlws.FILTER(
                    CHOOSE({1,2,3}, tbl_staff_holidays[Date], tbl_staff_holidays[Type], IF(tbl_staff_holidays[Note] = "", "", tbl_staff_holidays[Note])),
                    (tbl_staff_holidays[Staff] = U15) *
                    (tbl_staff_holidays[Date] &gt;= (V15 - W13)) *
                    (tbl_staff_holidays[Date] &lt;= W15)
                ),
                "1-No Staff Holidays"
            ),
            IFERROR(
                _xlfn._xlws.FILTER(
                    CHOOSE({1,2}, tbl_bank_holidays[Date], tbl_bank_holidays[Title]),
                    (tbl_bank_holidays[Date] &gt;= (V15 - W13)) *
                    (tbl_bank_holidays[Date] &lt;= W15)
                ),
                "2-No Bank Holidays"
            )
        ),
        1, TRUE
    )
)</f>
        <v>45686</v>
      </c>
      <c r="U17" s="11" t="str">
        <v>Holiday-Planned</v>
      </c>
      <c r="V17" s="11" t="str">
        <v/>
      </c>
      <c r="W17" s="11"/>
      <c r="X17"/>
      <c r="Y17"/>
    </row>
    <row r="18" spans="2:25" x14ac:dyDescent="0.25">
      <c r="B18" s="445" t="s">
        <v>189</v>
      </c>
      <c r="C18" s="18" t="s">
        <v>190</v>
      </c>
      <c r="D18" s="369" t="s">
        <v>1</v>
      </c>
      <c r="E18" s="370" cm="1">
        <f t="array" ref="E1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45699</v>
      </c>
      <c r="F18" s="371" cm="1">
        <f t="array" ref="F18">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45705</v>
      </c>
      <c r="G18" s="341">
        <v>5</v>
      </c>
      <c r="H18" s="341">
        <v>5</v>
      </c>
      <c r="I18" s="402">
        <v>0.5</v>
      </c>
      <c r="J18" s="341" t="s">
        <v>67</v>
      </c>
      <c r="K18" s="340"/>
      <c r="L18" s="340" t="s">
        <v>285</v>
      </c>
      <c r="M18" s="340" t="s">
        <v>115</v>
      </c>
      <c r="N18" s="374">
        <f>tbl_project_planner[[#This Row],[End Date]]-tbl_project_planner[[#This Row],[Start Date]]+1</f>
        <v>7</v>
      </c>
      <c r="O18" s="375">
        <f>COUNTIFS(tbl_staff_holidays[Date], "&gt;=" &amp; tbl_project_planner[[#This Row],[Start Date]], tbl_staff_holidays[Date], "&lt;=" &amp; tbl_project_planner[[#This Row],[End Date]], tbl_staff_holidays[Staff], tbl_project_planner[[#This Row],[Assigned To]])</f>
        <v>0</v>
      </c>
      <c r="P18" s="376">
        <f>IF(OR(tbl_project_planner[[#This Row],[End Date]]="",tbl_project_planner[[#This Row],[End Date]]="#N/A"),WEEKDAY(tbl_project_planner[[#This Row],[Start Date]],1),WEEKDAY(tbl_project_planner[[#This Row],[End Date]],1))</f>
        <v>2</v>
      </c>
      <c r="Q18" s="82" t="str" cm="1">
        <f t="array" ref="Q18">IFERROR(_xlfn.UNIQUE(_xlfn._xlws.FILTER(tbl_staff_list[RoleRef],tbl_staff_list[Role]=tbl_project_planner[[#This Row],[Role]],),,),"")</f>
        <v>RoleRef_7</v>
      </c>
      <c r="R18" s="82" t="b" cm="1">
        <f t="array" ref="R18">IFERROR(IF(ISNUMBER(MATCH(tbl_project_planner[[#This Row],[Assigned To]], _xlfn._xlws.FILTER(tbl_staff_list[Name], tbl_staff_list[Role] = tbl_project_planner[[#This Row],[Role]]), 0)), FALSE, TRUE), "No Staff Assigned")</f>
        <v>0</v>
      </c>
      <c r="T18" s="186">
        <v>45687</v>
      </c>
      <c r="U18" s="11" t="str">
        <v>Holiday-Planned</v>
      </c>
      <c r="V18" s="11" t="str">
        <v/>
      </c>
      <c r="W18" s="11"/>
      <c r="X18"/>
      <c r="Y18"/>
    </row>
    <row r="19" spans="2:25" x14ac:dyDescent="0.25">
      <c r="B19" s="445" t="s">
        <v>191</v>
      </c>
      <c r="C19" s="18" t="s">
        <v>192</v>
      </c>
      <c r="D19" s="369" t="s">
        <v>2</v>
      </c>
      <c r="E19" s="370" cm="1">
        <f t="array" ref="E19">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45705</v>
      </c>
      <c r="F19" s="377" cm="1">
        <f t="array" ref="F19">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45708</v>
      </c>
      <c r="G19" s="341">
        <v>4</v>
      </c>
      <c r="H19" s="341">
        <v>5</v>
      </c>
      <c r="I19" s="402">
        <v>0.2</v>
      </c>
      <c r="J19" s="341" t="s">
        <v>68</v>
      </c>
      <c r="K19" s="340"/>
      <c r="L19" s="340" t="s">
        <v>286</v>
      </c>
      <c r="M19" s="340" t="s">
        <v>105</v>
      </c>
      <c r="N19" s="378">
        <f>tbl_project_planner[[#This Row],[End Date]]-tbl_project_planner[[#This Row],[Start Date]]+1</f>
        <v>4</v>
      </c>
      <c r="O19" s="379">
        <f>COUNTIFS(tbl_staff_holidays[Date], "&gt;=" &amp; tbl_project_planner[[#This Row],[Start Date]], tbl_staff_holidays[Date], "&lt;=" &amp; tbl_project_planner[[#This Row],[End Date]], tbl_staff_holidays[Staff], tbl_project_planner[[#This Row],[Assigned To]])</f>
        <v>0</v>
      </c>
      <c r="P19" s="376">
        <f>IF(OR(tbl_project_planner[[#This Row],[End Date]]="",tbl_project_planner[[#This Row],[End Date]]="#N/A"),WEEKDAY(tbl_project_planner[[#This Row],[Start Date]],1),WEEKDAY(tbl_project_planner[[#This Row],[End Date]],1))</f>
        <v>5</v>
      </c>
      <c r="Q19" s="82" t="str" cm="1">
        <f t="array" ref="Q19">IFERROR(_xlfn.UNIQUE(_xlfn._xlws.FILTER(tbl_staff_list[RoleRef],tbl_staff_list[Role]=tbl_project_planner[[#This Row],[Role]],),,),"")</f>
        <v>RoleRef_8</v>
      </c>
      <c r="R19" s="82" t="b" cm="1">
        <f t="array" ref="R19">IFERROR(IF(ISNUMBER(MATCH(tbl_project_planner[[#This Row],[Assigned To]], _xlfn._xlws.FILTER(tbl_staff_list[Name], tbl_staff_list[Role] = tbl_project_planner[[#This Row],[Role]]), 0)), FALSE, TRUE), "No Staff Assigned")</f>
        <v>0</v>
      </c>
      <c r="T19" s="187">
        <v>45688</v>
      </c>
      <c r="U19" s="11" t="str">
        <v>Holiday-Planned</v>
      </c>
      <c r="V19" s="11" t="str">
        <v/>
      </c>
      <c r="W19" s="11"/>
      <c r="X19"/>
      <c r="Y19"/>
    </row>
    <row r="20" spans="2:25" x14ac:dyDescent="0.25">
      <c r="B20" s="445" t="s">
        <v>193</v>
      </c>
      <c r="C20" s="18" t="s">
        <v>194</v>
      </c>
      <c r="D20" s="369" t="s">
        <v>3</v>
      </c>
      <c r="E20" s="370" cm="1">
        <f t="array" ref="E2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45707</v>
      </c>
      <c r="F20" s="377" cm="1">
        <f t="array" ref="F20">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45715</v>
      </c>
      <c r="G20" s="341">
        <v>7</v>
      </c>
      <c r="H20" s="341">
        <v>5</v>
      </c>
      <c r="I20" s="402">
        <v>0.2</v>
      </c>
      <c r="J20" s="341" t="s">
        <v>69</v>
      </c>
      <c r="K20" s="340"/>
      <c r="L20" s="340" t="s">
        <v>280</v>
      </c>
      <c r="M20" s="340" t="s">
        <v>107</v>
      </c>
      <c r="N20" s="378">
        <f>tbl_project_planner[[#This Row],[End Date]]-tbl_project_planner[[#This Row],[Start Date]]+1</f>
        <v>9</v>
      </c>
      <c r="O20" s="379">
        <f>COUNTIFS(tbl_staff_holidays[Date], "&gt;=" &amp; tbl_project_planner[[#This Row],[Start Date]], tbl_staff_holidays[Date], "&lt;=" &amp; tbl_project_planner[[#This Row],[End Date]], tbl_staff_holidays[Staff], tbl_project_planner[[#This Row],[Assigned To]])</f>
        <v>0</v>
      </c>
      <c r="P20" s="376">
        <f>IF(OR(tbl_project_planner[[#This Row],[End Date]]="",tbl_project_planner[[#This Row],[End Date]]="#N/A"),WEEKDAY(tbl_project_planner[[#This Row],[Start Date]],1),WEEKDAY(tbl_project_planner[[#This Row],[End Date]],1))</f>
        <v>5</v>
      </c>
      <c r="Q20" s="82" t="str" cm="1">
        <f t="array" ref="Q20">IFERROR(_xlfn.UNIQUE(_xlfn._xlws.FILTER(tbl_staff_list[RoleRef],tbl_staff_list[Role]=tbl_project_planner[[#This Row],[Role]],),,),"")</f>
        <v>RoleRef_2</v>
      </c>
      <c r="R20" s="82" t="b" cm="1">
        <f t="array" ref="R20">IFERROR(IF(ISNUMBER(MATCH(tbl_project_planner[[#This Row],[Assigned To]], _xlfn._xlws.FILTER(tbl_staff_list[Name], tbl_staff_list[Role] = tbl_project_planner[[#This Row],[Role]]), 0)), FALSE, TRUE), "No Staff Assigned")</f>
        <v>0</v>
      </c>
      <c r="T20" s="188">
        <v>45691</v>
      </c>
      <c r="U20" s="11" t="str">
        <v>Holiday-Planned</v>
      </c>
      <c r="V20" s="11" t="str">
        <v/>
      </c>
      <c r="W20" s="11"/>
      <c r="X20"/>
      <c r="Y20"/>
    </row>
    <row r="21" spans="2:25" x14ac:dyDescent="0.25">
      <c r="B21" s="445" t="s">
        <v>195</v>
      </c>
      <c r="C21" s="18" t="s">
        <v>196</v>
      </c>
      <c r="D21" s="369" t="s">
        <v>4</v>
      </c>
      <c r="E21" s="370" cm="1">
        <f t="array" ref="E2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45716</v>
      </c>
      <c r="F21" s="377" cm="1">
        <f t="array" ref="F21">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45722</v>
      </c>
      <c r="G21" s="341">
        <v>5</v>
      </c>
      <c r="H21" s="341">
        <v>5</v>
      </c>
      <c r="I21" s="402">
        <v>0.2</v>
      </c>
      <c r="J21" s="341" t="s">
        <v>193</v>
      </c>
      <c r="K21" s="340"/>
      <c r="L21" s="340" t="s">
        <v>286</v>
      </c>
      <c r="M21" s="340" t="s">
        <v>105</v>
      </c>
      <c r="N21" s="378">
        <f>tbl_project_planner[[#This Row],[End Date]]-tbl_project_planner[[#This Row],[Start Date]]+1</f>
        <v>7</v>
      </c>
      <c r="O21" s="379">
        <f>COUNTIFS(tbl_staff_holidays[Date], "&gt;=" &amp; tbl_project_planner[[#This Row],[Start Date]], tbl_staff_holidays[Date], "&lt;=" &amp; tbl_project_planner[[#This Row],[End Date]], tbl_staff_holidays[Staff], tbl_project_planner[[#This Row],[Assigned To]])</f>
        <v>0</v>
      </c>
      <c r="P21" s="376">
        <f>IF(OR(tbl_project_planner[[#This Row],[End Date]]="",tbl_project_planner[[#This Row],[End Date]]="#N/A"),WEEKDAY(tbl_project_planner[[#This Row],[Start Date]],1),WEEKDAY(tbl_project_planner[[#This Row],[End Date]],1))</f>
        <v>5</v>
      </c>
      <c r="Q21" s="82" t="str" cm="1">
        <f t="array" ref="Q21">IFERROR(_xlfn.UNIQUE(_xlfn._xlws.FILTER(tbl_staff_list[RoleRef],tbl_staff_list[Role]=tbl_project_planner[[#This Row],[Role]],),,),"")</f>
        <v>RoleRef_8</v>
      </c>
      <c r="R21" s="82" t="b" cm="1">
        <f t="array" ref="R21">IFERROR(IF(ISNUMBER(MATCH(tbl_project_planner[[#This Row],[Assigned To]], _xlfn._xlws.FILTER(tbl_staff_list[Name], tbl_staff_list[Role] = tbl_project_planner[[#This Row],[Role]]), 0)), FALSE, TRUE), "No Staff Assigned")</f>
        <v>0</v>
      </c>
      <c r="T21" s="188">
        <v>45692</v>
      </c>
      <c r="U21" s="11" t="str">
        <v>Holiday-Planned</v>
      </c>
      <c r="V21" s="11" t="str">
        <v/>
      </c>
      <c r="W21" s="11"/>
      <c r="X21"/>
      <c r="Y21"/>
    </row>
    <row r="22" spans="2:25" ht="16.5" thickBot="1" x14ac:dyDescent="0.3">
      <c r="B22" s="445" t="s">
        <v>197</v>
      </c>
      <c r="C22" s="18" t="s">
        <v>198</v>
      </c>
      <c r="D22" s="369" t="s">
        <v>5</v>
      </c>
      <c r="E22" s="370" cm="1">
        <f t="array" ref="E2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45723</v>
      </c>
      <c r="F22" s="380" cm="1">
        <f t="array" ref="F22">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45723</v>
      </c>
      <c r="G22" s="341">
        <v>1</v>
      </c>
      <c r="H22" s="341">
        <v>1</v>
      </c>
      <c r="I22" s="402">
        <v>0.1</v>
      </c>
      <c r="J22" s="341" t="s">
        <v>195</v>
      </c>
      <c r="K22" s="340"/>
      <c r="L22" s="340" t="s">
        <v>280</v>
      </c>
      <c r="M22" s="340" t="s">
        <v>107</v>
      </c>
      <c r="N22" s="378">
        <f>tbl_project_planner[[#This Row],[End Date]]-tbl_project_planner[[#This Row],[Start Date]]+1</f>
        <v>1</v>
      </c>
      <c r="O22" s="381">
        <f>COUNTIFS(tbl_staff_holidays[Date], "&gt;=" &amp; tbl_project_planner[[#This Row],[Start Date]], tbl_staff_holidays[Date], "&lt;=" &amp; tbl_project_planner[[#This Row],[End Date]], tbl_staff_holidays[Staff], tbl_project_planner[[#This Row],[Assigned To]])</f>
        <v>0</v>
      </c>
      <c r="P22" s="376">
        <f>IF(OR(tbl_project_planner[[#This Row],[End Date]]="",tbl_project_planner[[#This Row],[End Date]]="#N/A"),WEEKDAY(tbl_project_planner[[#This Row],[Start Date]],1),WEEKDAY(tbl_project_planner[[#This Row],[End Date]],1))</f>
        <v>6</v>
      </c>
      <c r="Q22" s="82" t="str" cm="1">
        <f t="array" ref="Q22">IFERROR(_xlfn.UNIQUE(_xlfn._xlws.FILTER(tbl_staff_list[RoleRef],tbl_staff_list[Role]=tbl_project_planner[[#This Row],[Role]],),,),"")</f>
        <v>RoleRef_2</v>
      </c>
      <c r="R22" s="82" t="b" cm="1">
        <f t="array" ref="R22">IFERROR(IF(ISNUMBER(MATCH(tbl_project_planner[[#This Row],[Assigned To]], _xlfn._xlws.FILTER(tbl_staff_list[Name], tbl_staff_list[Role] = tbl_project_planner[[#This Row],[Role]]), 0)), FALSE, TRUE), "No Staff Assigned")</f>
        <v>0</v>
      </c>
      <c r="T22" s="188">
        <v>45693</v>
      </c>
      <c r="U22" s="11" t="str">
        <v>Holiday-Planned</v>
      </c>
      <c r="V22" s="11" t="str">
        <v/>
      </c>
      <c r="W22" s="163"/>
      <c r="X22"/>
      <c r="Y22"/>
    </row>
    <row r="23" spans="2:25" ht="16.5" thickTop="1" x14ac:dyDescent="0.25">
      <c r="B23" s="441"/>
      <c r="C23" s="431"/>
      <c r="D23" s="382" t="s">
        <v>90</v>
      </c>
      <c r="E23" s="383">
        <f>MAX(F18:F22)</f>
        <v>45723</v>
      </c>
      <c r="F23" s="384"/>
      <c r="G23" s="385">
        <f>SUMIF(I18:I22,"&lt;&gt;N/A",G18:G22)</f>
        <v>22</v>
      </c>
      <c r="H23" s="385">
        <f>SUMIF($I18:$I22,"&lt;&gt;N/A",H18:H22)</f>
        <v>21</v>
      </c>
      <c r="I23" s="386"/>
      <c r="J23" s="386"/>
      <c r="K23" s="387"/>
      <c r="L23" s="387"/>
      <c r="M23" s="387"/>
      <c r="N23" s="388">
        <f>SUM(N17:N22)</f>
        <v>28</v>
      </c>
      <c r="O23" s="386"/>
      <c r="P23" s="389">
        <f>IF(OR(tbl_project_planner[[#This Row],[End Date]]="",tbl_project_planner[[#This Row],[End Date]]="#N/A"),WEEKDAY(tbl_project_planner[[#This Row],[Start Date]],1),WEEKDAY(tbl_project_planner[[#This Row],[End Date]],1))</f>
        <v>6</v>
      </c>
      <c r="Q23" s="82" t="str" cm="1">
        <f t="array" ref="Q23">IFERROR(_xlfn.UNIQUE(_xlfn._xlws.FILTER(tbl_staff_list[RoleRef],tbl_staff_list[Role]=tbl_project_planner[[#This Row],[Role]],),,),"")</f>
        <v/>
      </c>
      <c r="T23" s="188">
        <v>45694</v>
      </c>
      <c r="U23" s="11" t="str">
        <v>Holiday-Planned</v>
      </c>
      <c r="V23" s="11" t="str">
        <v/>
      </c>
      <c r="W23" s="163"/>
      <c r="X23"/>
      <c r="Y23"/>
    </row>
    <row r="24" spans="2:25" x14ac:dyDescent="0.25">
      <c r="B24" s="446" t="s">
        <v>158</v>
      </c>
      <c r="C24" s="432" t="s">
        <v>199</v>
      </c>
      <c r="D24" s="362" t="s">
        <v>30</v>
      </c>
      <c r="E24" s="363" cm="1">
        <f t="array" ref="E24">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45726</v>
      </c>
      <c r="F24" s="390"/>
      <c r="G24" s="391"/>
      <c r="H24" s="391"/>
      <c r="I24" s="391"/>
      <c r="J24" s="391" t="s">
        <v>197</v>
      </c>
      <c r="K24" s="392"/>
      <c r="L24" s="392"/>
      <c r="M24" s="392"/>
      <c r="N24" s="393"/>
      <c r="O24" s="393"/>
      <c r="P24" s="367">
        <f>IF(OR(tbl_project_planner[[#This Row],[End Date]]="",tbl_project_planner[[#This Row],[End Date]]="#N/A"),WEEKDAY(tbl_project_planner[[#This Row],[Start Date]],1),WEEKDAY(tbl_project_planner[[#This Row],[End Date]],1))</f>
        <v>2</v>
      </c>
      <c r="Q24" s="82" t="str" cm="1">
        <f t="array" ref="Q24">IFERROR(_xlfn.UNIQUE(_xlfn._xlws.FILTER(tbl_staff_list[RoleRef],tbl_staff_list[Role]=tbl_project_planner[[#This Row],[Role]],),,),"")</f>
        <v/>
      </c>
      <c r="T24" s="188" t="str">
        <v>2-No Bank Holidays</v>
      </c>
      <c r="U24" s="11" t="e">
        <v>#N/A</v>
      </c>
      <c r="V24" s="11" t="e">
        <v>#N/A</v>
      </c>
      <c r="W24" s="163"/>
      <c r="X24"/>
      <c r="Y24"/>
    </row>
    <row r="25" spans="2:25" x14ac:dyDescent="0.25">
      <c r="B25" s="447" t="s">
        <v>70</v>
      </c>
      <c r="C25" s="433" t="s">
        <v>200</v>
      </c>
      <c r="D25" s="369" t="s">
        <v>1</v>
      </c>
      <c r="E25" s="370" cm="1">
        <f t="array" ref="E25">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45726</v>
      </c>
      <c r="F25" s="371" cm="1">
        <f t="array" ref="F25">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45737</v>
      </c>
      <c r="G25" s="395">
        <v>10</v>
      </c>
      <c r="H25" s="395">
        <v>10</v>
      </c>
      <c r="I25" s="396">
        <v>0.1</v>
      </c>
      <c r="J25" s="395" t="s">
        <v>197</v>
      </c>
      <c r="K25" s="394"/>
      <c r="L25" s="394" t="s">
        <v>296</v>
      </c>
      <c r="M25" s="394" t="s">
        <v>110</v>
      </c>
      <c r="N25" s="374">
        <f>tbl_project_planner[[#This Row],[End Date]]-tbl_project_planner[[#This Row],[Start Date]]+1</f>
        <v>12</v>
      </c>
      <c r="O25" s="375">
        <f>COUNTIFS(tbl_staff_holidays[Date], "&gt;=" &amp; tbl_project_planner[[#This Row],[Start Date]], tbl_staff_holidays[Date], "&lt;=" &amp; tbl_project_planner[[#This Row],[End Date]], tbl_staff_holidays[Staff], tbl_project_planner[[#This Row],[Assigned To]])</f>
        <v>0</v>
      </c>
      <c r="P25" s="376">
        <f>IF(OR(tbl_project_planner[[#This Row],[End Date]]="",tbl_project_planner[[#This Row],[End Date]]="#N/A"),WEEKDAY(tbl_project_planner[[#This Row],[Start Date]],1),WEEKDAY(tbl_project_planner[[#This Row],[End Date]],1))</f>
        <v>6</v>
      </c>
      <c r="Q25" s="82" t="str" cm="1">
        <f t="array" ref="Q25">IFERROR(_xlfn.UNIQUE(_xlfn._xlws.FILTER(tbl_staff_list[RoleRef],tbl_staff_list[Role]=tbl_project_planner[[#This Row],[Role]],),,),"")</f>
        <v>RoleRef_12</v>
      </c>
      <c r="R25" s="82" t="b" cm="1">
        <f t="array" ref="R25">IFERROR(IF(ISNUMBER(MATCH(tbl_project_planner[[#This Row],[Assigned To]], _xlfn._xlws.FILTER(tbl_staff_list[Name], tbl_staff_list[Role] = tbl_project_planner[[#This Row],[Role]]), 0)), FALSE, TRUE), "No Staff Assigned")</f>
        <v>0</v>
      </c>
      <c r="T25" s="188"/>
      <c r="U25" s="11"/>
      <c r="V25" s="11"/>
      <c r="W25" s="163"/>
      <c r="X25"/>
      <c r="Y25"/>
    </row>
    <row r="26" spans="2:25" x14ac:dyDescent="0.25">
      <c r="B26" s="447" t="s">
        <v>71</v>
      </c>
      <c r="C26" s="433" t="s">
        <v>201</v>
      </c>
      <c r="D26" s="369" t="s">
        <v>2</v>
      </c>
      <c r="E26" s="370" cm="1">
        <f t="array" ref="E26">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45726</v>
      </c>
      <c r="F26" s="377" cm="1">
        <f t="array" ref="F26">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45737</v>
      </c>
      <c r="G26" s="395">
        <v>10</v>
      </c>
      <c r="H26" s="395">
        <v>10</v>
      </c>
      <c r="I26" s="396">
        <v>0</v>
      </c>
      <c r="J26" s="395" t="s">
        <v>197</v>
      </c>
      <c r="K26" s="394"/>
      <c r="L26" s="394" t="s">
        <v>281</v>
      </c>
      <c r="M26" s="394" t="s">
        <v>112</v>
      </c>
      <c r="N26" s="378">
        <f>tbl_project_planner[[#This Row],[End Date]]-tbl_project_planner[[#This Row],[Start Date]]+1</f>
        <v>12</v>
      </c>
      <c r="O26" s="379">
        <f>COUNTIFS(tbl_staff_holidays[Date], "&gt;=" &amp; tbl_project_planner[[#This Row],[Start Date]], tbl_staff_holidays[Date], "&lt;=" &amp; tbl_project_planner[[#This Row],[End Date]], tbl_staff_holidays[Staff], tbl_project_planner[[#This Row],[Assigned To]])</f>
        <v>0</v>
      </c>
      <c r="P26" s="376">
        <f>IF(OR(tbl_project_planner[[#This Row],[End Date]]="",tbl_project_planner[[#This Row],[End Date]]="#N/A"),WEEKDAY(tbl_project_planner[[#This Row],[Start Date]],1),WEEKDAY(tbl_project_planner[[#This Row],[End Date]],1))</f>
        <v>6</v>
      </c>
      <c r="Q26" s="82" t="str" cm="1">
        <f t="array" ref="Q26">IFERROR(_xlfn.UNIQUE(_xlfn._xlws.FILTER(tbl_staff_list[RoleRef],tbl_staff_list[Role]=tbl_project_planner[[#This Row],[Role]],),,),"")</f>
        <v>RoleRef_3</v>
      </c>
      <c r="R26" s="82" t="b" cm="1">
        <f t="array" ref="R26">IFERROR(IF(ISNUMBER(MATCH(tbl_project_planner[[#This Row],[Assigned To]], _xlfn._xlws.FILTER(tbl_staff_list[Name], tbl_staff_list[Role] = tbl_project_planner[[#This Row],[Role]]), 0)), FALSE, TRUE), "No Staff Assigned")</f>
        <v>0</v>
      </c>
      <c r="T26" s="188"/>
      <c r="U26" s="11"/>
      <c r="V26" s="11"/>
      <c r="W26" s="163"/>
      <c r="X26"/>
      <c r="Y26"/>
    </row>
    <row r="27" spans="2:25" x14ac:dyDescent="0.25">
      <c r="B27" s="447" t="s">
        <v>72</v>
      </c>
      <c r="C27" s="433" t="s">
        <v>202</v>
      </c>
      <c r="D27" s="369" t="s">
        <v>3</v>
      </c>
      <c r="E27" s="370" cm="1">
        <f t="array" ref="E2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45726</v>
      </c>
      <c r="F27" s="377" cm="1">
        <f t="array" ref="F27">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45737</v>
      </c>
      <c r="G27" s="395">
        <v>10</v>
      </c>
      <c r="H27" s="395">
        <v>10</v>
      </c>
      <c r="I27" s="396">
        <v>0</v>
      </c>
      <c r="J27" s="395" t="s">
        <v>197</v>
      </c>
      <c r="K27" s="394"/>
      <c r="L27" s="394" t="s">
        <v>290</v>
      </c>
      <c r="M27" s="394" t="s">
        <v>106</v>
      </c>
      <c r="N27" s="378">
        <f>tbl_project_planner[[#This Row],[End Date]]-tbl_project_planner[[#This Row],[Start Date]]+1</f>
        <v>12</v>
      </c>
      <c r="O27" s="379">
        <f>COUNTIFS(tbl_staff_holidays[Date], "&gt;=" &amp; tbl_project_planner[[#This Row],[Start Date]], tbl_staff_holidays[Date], "&lt;=" &amp; tbl_project_planner[[#This Row],[End Date]], tbl_staff_holidays[Staff], tbl_project_planner[[#This Row],[Assigned To]])</f>
        <v>0</v>
      </c>
      <c r="P27" s="376">
        <f>IF(OR(tbl_project_planner[[#This Row],[End Date]]="",tbl_project_planner[[#This Row],[End Date]]="#N/A"),WEEKDAY(tbl_project_planner[[#This Row],[Start Date]],1),WEEKDAY(tbl_project_planner[[#This Row],[End Date]],1))</f>
        <v>6</v>
      </c>
      <c r="Q27" s="82" t="str" cm="1">
        <f t="array" ref="Q27">IFERROR(_xlfn.UNIQUE(_xlfn._xlws.FILTER(tbl_staff_list[RoleRef],tbl_staff_list[Role]=tbl_project_planner[[#This Row],[Role]],),,),"")</f>
        <v>RoleRef_11</v>
      </c>
      <c r="R27" s="82" t="b" cm="1">
        <f t="array" ref="R27">IFERROR(IF(ISNUMBER(MATCH(tbl_project_planner[[#This Row],[Assigned To]], _xlfn._xlws.FILTER(tbl_staff_list[Name], tbl_staff_list[Role] = tbl_project_planner[[#This Row],[Role]]), 0)), FALSE, TRUE), "No Staff Assigned")</f>
        <v>0</v>
      </c>
      <c r="T27" s="188"/>
      <c r="U27" s="11"/>
      <c r="V27" s="11"/>
      <c r="W27" s="163"/>
      <c r="X27"/>
      <c r="Y27"/>
    </row>
    <row r="28" spans="2:25" x14ac:dyDescent="0.25">
      <c r="B28" s="447" t="s">
        <v>73</v>
      </c>
      <c r="C28" s="433" t="s">
        <v>203</v>
      </c>
      <c r="D28" s="369" t="s">
        <v>4</v>
      </c>
      <c r="E28" s="370" cm="1">
        <f t="array" ref="E2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45726</v>
      </c>
      <c r="F28" s="377" cm="1">
        <f t="array" ref="F28">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45737</v>
      </c>
      <c r="G28" s="395">
        <v>10</v>
      </c>
      <c r="H28" s="395">
        <v>10</v>
      </c>
      <c r="I28" s="396">
        <v>0</v>
      </c>
      <c r="J28" s="395" t="s">
        <v>197</v>
      </c>
      <c r="K28" s="394"/>
      <c r="L28" s="394" t="s">
        <v>286</v>
      </c>
      <c r="M28" s="394" t="s">
        <v>105</v>
      </c>
      <c r="N28" s="378">
        <f>tbl_project_planner[[#This Row],[End Date]]-tbl_project_planner[[#This Row],[Start Date]]+1</f>
        <v>12</v>
      </c>
      <c r="O28" s="379">
        <f>COUNTIFS(tbl_staff_holidays[Date], "&gt;=" &amp; tbl_project_planner[[#This Row],[Start Date]], tbl_staff_holidays[Date], "&lt;=" &amp; tbl_project_planner[[#This Row],[End Date]], tbl_staff_holidays[Staff], tbl_project_planner[[#This Row],[Assigned To]])</f>
        <v>0</v>
      </c>
      <c r="P28" s="376">
        <f>IF(OR(tbl_project_planner[[#This Row],[End Date]]="",tbl_project_planner[[#This Row],[End Date]]="#N/A"),WEEKDAY(tbl_project_planner[[#This Row],[Start Date]],1),WEEKDAY(tbl_project_planner[[#This Row],[End Date]],1))</f>
        <v>6</v>
      </c>
      <c r="Q28" s="82" t="str" cm="1">
        <f t="array" ref="Q28">IFERROR(_xlfn.UNIQUE(_xlfn._xlws.FILTER(tbl_staff_list[RoleRef],tbl_staff_list[Role]=tbl_project_planner[[#This Row],[Role]],),,),"")</f>
        <v>RoleRef_8</v>
      </c>
      <c r="R28" s="82" t="b" cm="1">
        <f t="array" ref="R28">IFERROR(IF(ISNUMBER(MATCH(tbl_project_planner[[#This Row],[Assigned To]], _xlfn._xlws.FILTER(tbl_staff_list[Name], tbl_staff_list[Role] = tbl_project_planner[[#This Row],[Role]]), 0)), FALSE, TRUE), "No Staff Assigned")</f>
        <v>0</v>
      </c>
      <c r="T28" s="188"/>
      <c r="U28" s="11"/>
      <c r="V28" s="163"/>
      <c r="W28" s="11"/>
      <c r="X28"/>
      <c r="Y28"/>
    </row>
    <row r="29" spans="2:25" ht="16.5" thickBot="1" x14ac:dyDescent="0.3">
      <c r="B29" s="447" t="s">
        <v>422</v>
      </c>
      <c r="C29" s="433" t="s">
        <v>423</v>
      </c>
      <c r="D29" s="369" t="s">
        <v>5</v>
      </c>
      <c r="E29" s="370" cm="1">
        <f t="array" ref="E29">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45726</v>
      </c>
      <c r="F29" s="380" cm="1">
        <f t="array" ref="F29">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45730</v>
      </c>
      <c r="G29" s="395">
        <v>5</v>
      </c>
      <c r="H29" s="395">
        <v>5</v>
      </c>
      <c r="I29" s="396">
        <v>0</v>
      </c>
      <c r="J29" s="395" t="s">
        <v>197</v>
      </c>
      <c r="K29" s="394"/>
      <c r="L29" s="394" t="s">
        <v>421</v>
      </c>
      <c r="M29" s="394" t="s">
        <v>313</v>
      </c>
      <c r="N29" s="378">
        <f>tbl_project_planner[[#This Row],[End Date]]-tbl_project_planner[[#This Row],[Start Date]]+1</f>
        <v>5</v>
      </c>
      <c r="O29" s="381">
        <f>COUNTIFS(tbl_staff_holidays[Date], "&gt;=" &amp; tbl_project_planner[[#This Row],[Start Date]], tbl_staff_holidays[Date], "&lt;=" &amp; tbl_project_planner[[#This Row],[End Date]], tbl_staff_holidays[Staff], tbl_project_planner[[#This Row],[Assigned To]])</f>
        <v>0</v>
      </c>
      <c r="P29" s="376">
        <f>IF(OR(tbl_project_planner[[#This Row],[End Date]]="",tbl_project_planner[[#This Row],[End Date]]="#N/A"),WEEKDAY(tbl_project_planner[[#This Row],[Start Date]],1),WEEKDAY(tbl_project_planner[[#This Row],[End Date]],1))</f>
        <v>6</v>
      </c>
      <c r="Q29" s="82" t="str" cm="1">
        <f t="array" ref="Q29">IFERROR(_xlfn.UNIQUE(_xlfn._xlws.FILTER(tbl_staff_list[RoleRef],tbl_staff_list[Role]=tbl_project_planner[[#This Row],[Role]],),,),"")</f>
        <v>RoleRef_16</v>
      </c>
      <c r="R29" s="82" t="b" cm="1">
        <f t="array" ref="R29">IFERROR(IF(ISNUMBER(MATCH(tbl_project_planner[[#This Row],[Assigned To]], _xlfn._xlws.FILTER(tbl_staff_list[Name], tbl_staff_list[Role] = tbl_project_planner[[#This Row],[Role]]), 0)), FALSE, TRUE), "No Staff Assigned")</f>
        <v>0</v>
      </c>
      <c r="T29" s="188"/>
      <c r="U29" s="11"/>
      <c r="V29" s="11"/>
      <c r="W29" s="163"/>
      <c r="X29"/>
      <c r="Y29"/>
    </row>
    <row r="30" spans="2:25" ht="16.5" thickTop="1" x14ac:dyDescent="0.25">
      <c r="B30" s="441"/>
      <c r="C30" s="431"/>
      <c r="D30" s="382" t="s">
        <v>90</v>
      </c>
      <c r="E30" s="383">
        <f>MAX(F25:F29)</f>
        <v>45737</v>
      </c>
      <c r="F30" s="397"/>
      <c r="G30" s="385">
        <f>SUMIF(I25:I29,"&lt;&gt;N/A",G25:G29)</f>
        <v>45</v>
      </c>
      <c r="H30" s="385">
        <f>SUMIF($I25:$I29,"&lt;&gt;N/A",H25:H29)</f>
        <v>45</v>
      </c>
      <c r="I30" s="398"/>
      <c r="J30" s="398"/>
      <c r="K30" s="399"/>
      <c r="L30" s="399"/>
      <c r="M30" s="399"/>
      <c r="N30" s="388">
        <f>SUM(N24:N29)</f>
        <v>53</v>
      </c>
      <c r="O30" s="400"/>
      <c r="P30" s="389">
        <f>IF(OR(tbl_project_planner[[#This Row],[End Date]]="",tbl_project_planner[[#This Row],[End Date]]="#N/A"),WEEKDAY(tbl_project_planner[[#This Row],[Start Date]],1),WEEKDAY(tbl_project_planner[[#This Row],[End Date]],1))</f>
        <v>6</v>
      </c>
      <c r="Q30" s="82" t="str" cm="1">
        <f t="array" ref="Q30">IFERROR(_xlfn.UNIQUE(_xlfn._xlws.FILTER(tbl_staff_list[RoleRef],tbl_staff_list[Role]=tbl_project_planner[[#This Row],[Role]],),,),"")</f>
        <v/>
      </c>
      <c r="T30" s="188"/>
      <c r="U30" s="11"/>
      <c r="V30" s="11"/>
      <c r="W30" s="163"/>
      <c r="X30"/>
      <c r="Y30"/>
    </row>
    <row r="31" spans="2:25" x14ac:dyDescent="0.25">
      <c r="B31" s="448" t="s">
        <v>204</v>
      </c>
      <c r="C31" s="434" t="s">
        <v>205</v>
      </c>
      <c r="D31" s="362" t="s">
        <v>30</v>
      </c>
      <c r="E31" s="363" cm="1">
        <f t="array" ref="E3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45740</v>
      </c>
      <c r="F31" s="401"/>
      <c r="G31" s="365"/>
      <c r="H31" s="365"/>
      <c r="I31" s="365"/>
      <c r="J31" s="365" t="s">
        <v>73</v>
      </c>
      <c r="K31" s="366"/>
      <c r="L31" s="366"/>
      <c r="M31" s="366"/>
      <c r="N31" s="341"/>
      <c r="O31" s="341"/>
      <c r="P31" s="367">
        <f>IF(OR(tbl_project_planner[[#This Row],[End Date]]="",tbl_project_planner[[#This Row],[End Date]]="#N/A"),WEEKDAY(tbl_project_planner[[#This Row],[Start Date]],1),WEEKDAY(tbl_project_planner[[#This Row],[End Date]],1))</f>
        <v>2</v>
      </c>
      <c r="Q31" s="82" t="str" cm="1">
        <f t="array" ref="Q31">IFERROR(_xlfn.UNIQUE(_xlfn._xlws.FILTER(tbl_staff_list[RoleRef],tbl_staff_list[Role]=tbl_project_planner[[#This Row],[Role]],),,),"")</f>
        <v/>
      </c>
      <c r="T31" s="188"/>
      <c r="U31" s="11"/>
      <c r="V31" s="11"/>
      <c r="W31" s="163"/>
      <c r="X31"/>
      <c r="Y31"/>
    </row>
    <row r="32" spans="2:25" x14ac:dyDescent="0.25">
      <c r="B32" s="449" t="s">
        <v>74</v>
      </c>
      <c r="C32" s="18" t="s">
        <v>206</v>
      </c>
      <c r="D32" s="369" t="s">
        <v>1</v>
      </c>
      <c r="E32" s="370" cm="1">
        <f t="array" ref="E3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45740</v>
      </c>
      <c r="F32" s="371" cm="1">
        <f t="array" ref="F32">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45751</v>
      </c>
      <c r="G32" s="341">
        <v>10</v>
      </c>
      <c r="H32" s="341">
        <v>10</v>
      </c>
      <c r="I32" s="402">
        <v>0</v>
      </c>
      <c r="J32" s="341" t="s">
        <v>73</v>
      </c>
      <c r="K32" s="340"/>
      <c r="L32" s="340" t="s">
        <v>282</v>
      </c>
      <c r="M32" s="340" t="s">
        <v>114</v>
      </c>
      <c r="N32" s="374">
        <f>tbl_project_planner[[#This Row],[End Date]]-tbl_project_planner[[#This Row],[Start Date]]+1</f>
        <v>12</v>
      </c>
      <c r="O32" s="375">
        <f>COUNTIFS(tbl_staff_holidays[Date], "&gt;=" &amp; tbl_project_planner[[#This Row],[Start Date]], tbl_staff_holidays[Date], "&lt;=" &amp; tbl_project_planner[[#This Row],[End Date]], tbl_staff_holidays[Staff], tbl_project_planner[[#This Row],[Assigned To]])</f>
        <v>0</v>
      </c>
      <c r="P32" s="376">
        <f>IF(OR(tbl_project_planner[[#This Row],[End Date]]="",tbl_project_planner[[#This Row],[End Date]]="#N/A"),WEEKDAY(tbl_project_planner[[#This Row],[Start Date]],1),WEEKDAY(tbl_project_planner[[#This Row],[End Date]],1))</f>
        <v>6</v>
      </c>
      <c r="Q32" s="82" t="str" cm="1">
        <f t="array" ref="Q32">IFERROR(_xlfn.UNIQUE(_xlfn._xlws.FILTER(tbl_staff_list[RoleRef],tbl_staff_list[Role]=tbl_project_planner[[#This Row],[Role]],),,),"")</f>
        <v>RoleRef_4</v>
      </c>
      <c r="R32" s="82" t="b" cm="1">
        <f t="array" ref="R32">IFERROR(IF(ISNUMBER(MATCH(tbl_project_planner[[#This Row],[Assigned To]], _xlfn._xlws.FILTER(tbl_staff_list[Name], tbl_staff_list[Role] = tbl_project_planner[[#This Row],[Role]]), 0)), FALSE, TRUE), "No Staff Assigned")</f>
        <v>0</v>
      </c>
      <c r="T32" s="188"/>
      <c r="U32" s="11"/>
      <c r="V32" s="11"/>
      <c r="W32" s="163"/>
      <c r="X32"/>
      <c r="Y32"/>
    </row>
    <row r="33" spans="2:25" x14ac:dyDescent="0.25">
      <c r="B33" s="449" t="s">
        <v>207</v>
      </c>
      <c r="C33" s="18" t="s">
        <v>208</v>
      </c>
      <c r="D33" s="369" t="s">
        <v>2</v>
      </c>
      <c r="E33" s="370" cm="1">
        <f t="array" ref="E33">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45740</v>
      </c>
      <c r="F33" s="377" cm="1">
        <f t="array" ref="F33">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45751</v>
      </c>
      <c r="G33" s="341">
        <v>10</v>
      </c>
      <c r="H33" s="341">
        <v>10</v>
      </c>
      <c r="I33" s="402">
        <v>0</v>
      </c>
      <c r="J33" s="341" t="s">
        <v>73</v>
      </c>
      <c r="K33" s="340"/>
      <c r="L33" s="340" t="s">
        <v>288</v>
      </c>
      <c r="M33" s="340" t="s">
        <v>111</v>
      </c>
      <c r="N33" s="378">
        <f>tbl_project_planner[[#This Row],[End Date]]-tbl_project_planner[[#This Row],[Start Date]]+1</f>
        <v>12</v>
      </c>
      <c r="O33" s="379">
        <f>COUNTIFS(tbl_staff_holidays[Date], "&gt;=" &amp; tbl_project_planner[[#This Row],[Start Date]], tbl_staff_holidays[Date], "&lt;=" &amp; tbl_project_planner[[#This Row],[End Date]], tbl_staff_holidays[Staff], tbl_project_planner[[#This Row],[Assigned To]])</f>
        <v>0</v>
      </c>
      <c r="P33" s="376">
        <f>IF(OR(tbl_project_planner[[#This Row],[End Date]]="",tbl_project_planner[[#This Row],[End Date]]="#N/A"),WEEKDAY(tbl_project_planner[[#This Row],[Start Date]],1),WEEKDAY(tbl_project_planner[[#This Row],[End Date]],1))</f>
        <v>6</v>
      </c>
      <c r="Q33" s="82" t="str" cm="1">
        <f t="array" ref="Q33">IFERROR(_xlfn.UNIQUE(_xlfn._xlws.FILTER(tbl_staff_list[RoleRef],tbl_staff_list[Role]=tbl_project_planner[[#This Row],[Role]],),,),"")</f>
        <v>RoleRef_9</v>
      </c>
      <c r="R33" s="82" t="b" cm="1">
        <f t="array" ref="R33">IFERROR(IF(ISNUMBER(MATCH(tbl_project_planner[[#This Row],[Assigned To]], _xlfn._xlws.FILTER(tbl_staff_list[Name], tbl_staff_list[Role] = tbl_project_planner[[#This Row],[Role]]), 0)), FALSE, TRUE), "No Staff Assigned")</f>
        <v>0</v>
      </c>
      <c r="T33" s="188"/>
      <c r="U33" s="11"/>
      <c r="V33" s="11"/>
      <c r="W33" s="163"/>
      <c r="X33"/>
      <c r="Y33"/>
    </row>
    <row r="34" spans="2:25" x14ac:dyDescent="0.25">
      <c r="B34" s="449" t="s">
        <v>209</v>
      </c>
      <c r="C34" s="18" t="s">
        <v>210</v>
      </c>
      <c r="D34" s="369" t="s">
        <v>3</v>
      </c>
      <c r="E34" s="370" cm="1">
        <f t="array" ref="E34">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45740</v>
      </c>
      <c r="F34" s="377" cm="1">
        <f t="array" ref="F34">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45751</v>
      </c>
      <c r="G34" s="341">
        <v>10</v>
      </c>
      <c r="H34" s="341">
        <v>10</v>
      </c>
      <c r="I34" s="402">
        <v>0</v>
      </c>
      <c r="J34" s="341" t="s">
        <v>73</v>
      </c>
      <c r="K34" s="340"/>
      <c r="L34" s="340" t="s">
        <v>294</v>
      </c>
      <c r="M34" s="340" t="s">
        <v>111</v>
      </c>
      <c r="N34" s="378">
        <f>tbl_project_planner[[#This Row],[End Date]]-tbl_project_planner[[#This Row],[Start Date]]+1</f>
        <v>12</v>
      </c>
      <c r="O34" s="379">
        <f>COUNTIFS(tbl_staff_holidays[Date], "&gt;=" &amp; tbl_project_planner[[#This Row],[Start Date]], tbl_staff_holidays[Date], "&lt;=" &amp; tbl_project_planner[[#This Row],[End Date]], tbl_staff_holidays[Staff], tbl_project_planner[[#This Row],[Assigned To]])</f>
        <v>0</v>
      </c>
      <c r="P34" s="376">
        <f>IF(OR(tbl_project_planner[[#This Row],[End Date]]="",tbl_project_planner[[#This Row],[End Date]]="#N/A"),WEEKDAY(tbl_project_planner[[#This Row],[Start Date]],1),WEEKDAY(tbl_project_planner[[#This Row],[End Date]],1))</f>
        <v>6</v>
      </c>
      <c r="Q34" s="82" t="str" cm="1">
        <f t="array" ref="Q34">IFERROR(_xlfn.UNIQUE(_xlfn._xlws.FILTER(tbl_staff_list[RoleRef],tbl_staff_list[Role]=tbl_project_planner[[#This Row],[Role]],),,),"")</f>
        <v>RoleRef_9</v>
      </c>
      <c r="R34" s="82" t="b" cm="1">
        <f t="array" ref="R34">IFERROR(IF(ISNUMBER(MATCH(tbl_project_planner[[#This Row],[Assigned To]], _xlfn._xlws.FILTER(tbl_staff_list[Name], tbl_staff_list[Role] = tbl_project_planner[[#This Row],[Role]]), 0)), FALSE, TRUE), "No Staff Assigned")</f>
        <v>0</v>
      </c>
      <c r="T34" s="188"/>
      <c r="U34" s="11"/>
      <c r="V34" s="11"/>
      <c r="W34" s="163"/>
      <c r="X34"/>
      <c r="Y34"/>
    </row>
    <row r="35" spans="2:25" x14ac:dyDescent="0.25">
      <c r="B35" s="449" t="s">
        <v>75</v>
      </c>
      <c r="C35" s="18" t="s">
        <v>211</v>
      </c>
      <c r="D35" s="369" t="s">
        <v>4</v>
      </c>
      <c r="E35" s="370" cm="1">
        <f t="array" ref="E35">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45740</v>
      </c>
      <c r="F35" s="377" cm="1">
        <f t="array" ref="F35">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45751</v>
      </c>
      <c r="G35" s="341">
        <v>10</v>
      </c>
      <c r="H35" s="341">
        <v>10</v>
      </c>
      <c r="I35" s="402">
        <v>0</v>
      </c>
      <c r="J35" s="341" t="s">
        <v>73</v>
      </c>
      <c r="K35" s="340"/>
      <c r="L35" s="340" t="s">
        <v>280</v>
      </c>
      <c r="M35" s="340" t="s">
        <v>107</v>
      </c>
      <c r="N35" s="378">
        <f>tbl_project_planner[[#This Row],[End Date]]-tbl_project_planner[[#This Row],[Start Date]]+1</f>
        <v>12</v>
      </c>
      <c r="O35" s="379">
        <f>COUNTIFS(tbl_staff_holidays[Date], "&gt;=" &amp; tbl_project_planner[[#This Row],[Start Date]], tbl_staff_holidays[Date], "&lt;=" &amp; tbl_project_planner[[#This Row],[End Date]], tbl_staff_holidays[Staff], tbl_project_planner[[#This Row],[Assigned To]])</f>
        <v>0</v>
      </c>
      <c r="P35" s="376">
        <f>IF(OR(tbl_project_planner[[#This Row],[End Date]]="",tbl_project_planner[[#This Row],[End Date]]="#N/A"),WEEKDAY(tbl_project_planner[[#This Row],[Start Date]],1),WEEKDAY(tbl_project_planner[[#This Row],[End Date]],1))</f>
        <v>6</v>
      </c>
      <c r="Q35" s="82" t="str" cm="1">
        <f t="array" ref="Q35">IFERROR(_xlfn.UNIQUE(_xlfn._xlws.FILTER(tbl_staff_list[RoleRef],tbl_staff_list[Role]=tbl_project_planner[[#This Row],[Role]],),,),"")</f>
        <v>RoleRef_2</v>
      </c>
      <c r="R35" s="82" t="b" cm="1">
        <f t="array" ref="R35">IFERROR(IF(ISNUMBER(MATCH(tbl_project_planner[[#This Row],[Assigned To]], _xlfn._xlws.FILTER(tbl_staff_list[Name], tbl_staff_list[Role] = tbl_project_planner[[#This Row],[Role]]), 0)), FALSE, TRUE), "No Staff Assigned")</f>
        <v>0</v>
      </c>
      <c r="T35" s="188"/>
      <c r="U35" s="11"/>
      <c r="V35" s="11"/>
      <c r="W35" s="163"/>
      <c r="X35"/>
      <c r="Y35"/>
    </row>
    <row r="36" spans="2:25" ht="16.5" thickBot="1" x14ac:dyDescent="0.3">
      <c r="B36" s="449" t="s">
        <v>76</v>
      </c>
      <c r="C36" s="18" t="s">
        <v>360</v>
      </c>
      <c r="D36" s="369" t="s">
        <v>5</v>
      </c>
      <c r="E36" s="370" cm="1">
        <f t="array" ref="E36">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45740</v>
      </c>
      <c r="F36" s="380" cm="1">
        <f t="array" ref="F36">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45751</v>
      </c>
      <c r="G36" s="341">
        <v>10</v>
      </c>
      <c r="H36" s="341">
        <v>10</v>
      </c>
      <c r="I36" s="402">
        <v>0</v>
      </c>
      <c r="J36" s="341" t="s">
        <v>73</v>
      </c>
      <c r="K36" s="340"/>
      <c r="L36" s="340" t="s">
        <v>286</v>
      </c>
      <c r="M36" s="340" t="s">
        <v>105</v>
      </c>
      <c r="N36" s="378">
        <f>tbl_project_planner[[#This Row],[End Date]]-tbl_project_planner[[#This Row],[Start Date]]+1</f>
        <v>12</v>
      </c>
      <c r="O36" s="381">
        <f>COUNTIFS(tbl_staff_holidays[Date], "&gt;=" &amp; tbl_project_planner[[#This Row],[Start Date]], tbl_staff_holidays[Date], "&lt;=" &amp; tbl_project_planner[[#This Row],[End Date]], tbl_staff_holidays[Staff], tbl_project_planner[[#This Row],[Assigned To]])</f>
        <v>0</v>
      </c>
      <c r="P36" s="376">
        <f>IF(OR(tbl_project_planner[[#This Row],[End Date]]="",tbl_project_planner[[#This Row],[End Date]]="#N/A"),WEEKDAY(tbl_project_planner[[#This Row],[Start Date]],1),WEEKDAY(tbl_project_planner[[#This Row],[End Date]],1))</f>
        <v>6</v>
      </c>
      <c r="Q36" s="82" t="str" cm="1">
        <f t="array" ref="Q36">IFERROR(_xlfn.UNIQUE(_xlfn._xlws.FILTER(tbl_staff_list[RoleRef],tbl_staff_list[Role]=tbl_project_planner[[#This Row],[Role]],),,),"")</f>
        <v>RoleRef_8</v>
      </c>
      <c r="R36" s="82" t="b" cm="1">
        <f t="array" ref="R36">IFERROR(IF(ISNUMBER(MATCH(tbl_project_planner[[#This Row],[Assigned To]], _xlfn._xlws.FILTER(tbl_staff_list[Name], tbl_staff_list[Role] = tbl_project_planner[[#This Row],[Role]]), 0)), FALSE, TRUE), "No Staff Assigned")</f>
        <v>0</v>
      </c>
      <c r="T36" s="188"/>
      <c r="U36" s="11"/>
      <c r="V36" s="11"/>
      <c r="W36" s="163"/>
      <c r="X36"/>
      <c r="Y36"/>
    </row>
    <row r="37" spans="2:25" ht="16.5" thickTop="1" x14ac:dyDescent="0.25">
      <c r="B37" s="441"/>
      <c r="C37" s="431"/>
      <c r="D37" s="382" t="s">
        <v>90</v>
      </c>
      <c r="E37" s="383">
        <f>MAX(F32:F36)</f>
        <v>45751</v>
      </c>
      <c r="F37" s="384"/>
      <c r="G37" s="385">
        <f>SUMIF(I32:I36,"&lt;&gt;N/A",G32:G36)</f>
        <v>50</v>
      </c>
      <c r="H37" s="385">
        <f>SUMIF($I32:$I36,"&lt;&gt;N/A",H32:H36)</f>
        <v>50</v>
      </c>
      <c r="I37" s="386"/>
      <c r="J37" s="386"/>
      <c r="K37" s="387"/>
      <c r="L37" s="387"/>
      <c r="M37" s="387"/>
      <c r="N37" s="388">
        <f>SUM(N31:N36)</f>
        <v>60</v>
      </c>
      <c r="O37" s="386"/>
      <c r="P37" s="389">
        <f>IF(OR(tbl_project_planner[[#This Row],[End Date]]="",tbl_project_planner[[#This Row],[End Date]]="#N/A"),WEEKDAY(tbl_project_planner[[#This Row],[Start Date]],1),WEEKDAY(tbl_project_planner[[#This Row],[End Date]],1))</f>
        <v>6</v>
      </c>
      <c r="Q37" s="82" t="str" cm="1">
        <f t="array" ref="Q37">IFERROR(_xlfn.UNIQUE(_xlfn._xlws.FILTER(tbl_staff_list[RoleRef],tbl_staff_list[Role]=tbl_project_planner[[#This Row],[Role]],),,),"")</f>
        <v/>
      </c>
      <c r="T37" s="188"/>
      <c r="U37" s="11"/>
      <c r="V37" s="11"/>
      <c r="W37" s="163"/>
      <c r="X37"/>
      <c r="Y37"/>
    </row>
    <row r="38" spans="2:25" x14ac:dyDescent="0.25">
      <c r="B38" s="450" t="s">
        <v>212</v>
      </c>
      <c r="C38" s="435" t="s">
        <v>213</v>
      </c>
      <c r="D38" s="403" t="s">
        <v>30</v>
      </c>
      <c r="E38" s="363" cm="1">
        <f t="array" ref="E3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45754</v>
      </c>
      <c r="F38" s="390"/>
      <c r="G38" s="395"/>
      <c r="H38" s="395"/>
      <c r="I38" s="395"/>
      <c r="J38" s="395" t="s">
        <v>76</v>
      </c>
      <c r="K38" s="394"/>
      <c r="L38" s="392"/>
      <c r="M38" s="392"/>
      <c r="N38" s="393"/>
      <c r="O38" s="393"/>
      <c r="P38" s="367">
        <f>IF(OR(tbl_project_planner[[#This Row],[End Date]]="",tbl_project_planner[[#This Row],[End Date]]="#N/A"),WEEKDAY(tbl_project_planner[[#This Row],[Start Date]],1),WEEKDAY(tbl_project_planner[[#This Row],[End Date]],1))</f>
        <v>2</v>
      </c>
      <c r="Q38" s="82" t="str" cm="1">
        <f t="array" ref="Q38">IFERROR(_xlfn.UNIQUE(_xlfn._xlws.FILTER(tbl_staff_list[RoleRef],tbl_staff_list[Role]=tbl_project_planner[[#This Row],[Role]],),,),"")</f>
        <v/>
      </c>
      <c r="T38" s="188"/>
      <c r="U38" s="11"/>
      <c r="V38" s="11"/>
      <c r="W38" s="163"/>
      <c r="X38"/>
      <c r="Y38"/>
    </row>
    <row r="39" spans="2:25" x14ac:dyDescent="0.25">
      <c r="B39" s="451" t="s">
        <v>214</v>
      </c>
      <c r="C39" s="433" t="s">
        <v>215</v>
      </c>
      <c r="D39" s="369" t="s">
        <v>1</v>
      </c>
      <c r="E39" s="370" cm="1">
        <f t="array" ref="E39">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45754</v>
      </c>
      <c r="F39" s="371" cm="1">
        <f t="array" ref="F39">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45758</v>
      </c>
      <c r="G39" s="395">
        <v>5</v>
      </c>
      <c r="H39" s="395">
        <v>5</v>
      </c>
      <c r="I39" s="396">
        <v>0</v>
      </c>
      <c r="J39" s="395" t="s">
        <v>76</v>
      </c>
      <c r="K39" s="394"/>
      <c r="L39" s="394" t="s">
        <v>294</v>
      </c>
      <c r="M39" s="394" t="s">
        <v>111</v>
      </c>
      <c r="N39" s="374">
        <f>tbl_project_planner[[#This Row],[End Date]]-tbl_project_planner[[#This Row],[Start Date]]+1</f>
        <v>5</v>
      </c>
      <c r="O39" s="375">
        <f>COUNTIFS(tbl_staff_holidays[Date], "&gt;=" &amp; tbl_project_planner[[#This Row],[Start Date]], tbl_staff_holidays[Date], "&lt;=" &amp; tbl_project_planner[[#This Row],[End Date]], tbl_staff_holidays[Staff], tbl_project_planner[[#This Row],[Assigned To]])</f>
        <v>0</v>
      </c>
      <c r="P39" s="376">
        <f>IF(OR(tbl_project_planner[[#This Row],[End Date]]="",tbl_project_planner[[#This Row],[End Date]]="#N/A"),WEEKDAY(tbl_project_planner[[#This Row],[Start Date]],1),WEEKDAY(tbl_project_planner[[#This Row],[End Date]],1))</f>
        <v>6</v>
      </c>
      <c r="Q39" s="82" t="str" cm="1">
        <f t="array" ref="Q39">IFERROR(_xlfn.UNIQUE(_xlfn._xlws.FILTER(tbl_staff_list[RoleRef],tbl_staff_list[Role]=tbl_project_planner[[#This Row],[Role]],),,),"")</f>
        <v>RoleRef_9</v>
      </c>
      <c r="R39" s="82" t="b" cm="1">
        <f t="array" ref="R39">IFERROR(IF(ISNUMBER(MATCH(tbl_project_planner[[#This Row],[Assigned To]], _xlfn._xlws.FILTER(tbl_staff_list[Name], tbl_staff_list[Role] = tbl_project_planner[[#This Row],[Role]]), 0)), FALSE, TRUE), "No Staff Assigned")</f>
        <v>0</v>
      </c>
      <c r="T39" s="188"/>
      <c r="U39" s="11"/>
      <c r="V39" s="11"/>
      <c r="W39" s="163"/>
      <c r="X39"/>
      <c r="Y39"/>
    </row>
    <row r="40" spans="2:25" x14ac:dyDescent="0.25">
      <c r="B40" s="451" t="s">
        <v>216</v>
      </c>
      <c r="C40" s="433" t="s">
        <v>217</v>
      </c>
      <c r="D40" s="369" t="s">
        <v>2</v>
      </c>
      <c r="E40" s="370" cm="1">
        <f t="array" ref="E4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45754</v>
      </c>
      <c r="F40" s="377" cm="1">
        <f t="array" ref="F40">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45758</v>
      </c>
      <c r="G40" s="395">
        <v>5</v>
      </c>
      <c r="H40" s="395">
        <v>5</v>
      </c>
      <c r="I40" s="396">
        <v>0</v>
      </c>
      <c r="J40" s="395" t="s">
        <v>76</v>
      </c>
      <c r="K40" s="394"/>
      <c r="L40" s="394" t="s">
        <v>289</v>
      </c>
      <c r="M40" s="394" t="s">
        <v>108</v>
      </c>
      <c r="N40" s="378">
        <f>tbl_project_planner[[#This Row],[End Date]]-tbl_project_planner[[#This Row],[Start Date]]+1</f>
        <v>5</v>
      </c>
      <c r="O40" s="379">
        <f>COUNTIFS(tbl_staff_holidays[Date], "&gt;=" &amp; tbl_project_planner[[#This Row],[Start Date]], tbl_staff_holidays[Date], "&lt;=" &amp; tbl_project_planner[[#This Row],[End Date]], tbl_staff_holidays[Staff], tbl_project_planner[[#This Row],[Assigned To]])</f>
        <v>0</v>
      </c>
      <c r="P40" s="376">
        <f>IF(OR(tbl_project_planner[[#This Row],[End Date]]="",tbl_project_planner[[#This Row],[End Date]]="#N/A"),WEEKDAY(tbl_project_planner[[#This Row],[Start Date]],1),WEEKDAY(tbl_project_planner[[#This Row],[End Date]],1))</f>
        <v>6</v>
      </c>
      <c r="Q40" s="82" t="str" cm="1">
        <f t="array" ref="Q40">IFERROR(_xlfn.UNIQUE(_xlfn._xlws.FILTER(tbl_staff_list[RoleRef],tbl_staff_list[Role]=tbl_project_planner[[#This Row],[Role]],),,),"")</f>
        <v>RoleRef_10</v>
      </c>
      <c r="R40" s="82" t="b" cm="1">
        <f t="array" ref="R40">IFERROR(IF(ISNUMBER(MATCH(tbl_project_planner[[#This Row],[Assigned To]], _xlfn._xlws.FILTER(tbl_staff_list[Name], tbl_staff_list[Role] = tbl_project_planner[[#This Row],[Role]]), 0)), FALSE, TRUE), "No Staff Assigned")</f>
        <v>0</v>
      </c>
      <c r="T40" s="188"/>
      <c r="U40" s="11"/>
      <c r="V40" s="11"/>
      <c r="W40" s="163"/>
      <c r="X40"/>
      <c r="Y40"/>
    </row>
    <row r="41" spans="2:25" x14ac:dyDescent="0.25">
      <c r="B41" s="451" t="s">
        <v>218</v>
      </c>
      <c r="C41" s="433" t="s">
        <v>219</v>
      </c>
      <c r="D41" s="369" t="s">
        <v>3</v>
      </c>
      <c r="E41" s="370" cm="1">
        <f t="array" ref="E4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45754</v>
      </c>
      <c r="F41" s="377" cm="1">
        <f t="array" ref="F41">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45758</v>
      </c>
      <c r="G41" s="395">
        <v>5</v>
      </c>
      <c r="H41" s="395">
        <v>5</v>
      </c>
      <c r="I41" s="396">
        <v>0</v>
      </c>
      <c r="J41" s="395" t="s">
        <v>76</v>
      </c>
      <c r="K41" s="394"/>
      <c r="L41" s="394" t="s">
        <v>280</v>
      </c>
      <c r="M41" s="394" t="s">
        <v>107</v>
      </c>
      <c r="N41" s="378">
        <f>tbl_project_planner[[#This Row],[End Date]]-tbl_project_planner[[#This Row],[Start Date]]+1</f>
        <v>5</v>
      </c>
      <c r="O41" s="379">
        <f>COUNTIFS(tbl_staff_holidays[Date], "&gt;=" &amp; tbl_project_planner[[#This Row],[Start Date]], tbl_staff_holidays[Date], "&lt;=" &amp; tbl_project_planner[[#This Row],[End Date]], tbl_staff_holidays[Staff], tbl_project_planner[[#This Row],[Assigned To]])</f>
        <v>0</v>
      </c>
      <c r="P41" s="376">
        <f>IF(OR(tbl_project_planner[[#This Row],[End Date]]="",tbl_project_planner[[#This Row],[End Date]]="#N/A"),WEEKDAY(tbl_project_planner[[#This Row],[Start Date]],1),WEEKDAY(tbl_project_planner[[#This Row],[End Date]],1))</f>
        <v>6</v>
      </c>
      <c r="Q41" s="82" t="str" cm="1">
        <f t="array" ref="Q41">IFERROR(_xlfn.UNIQUE(_xlfn._xlws.FILTER(tbl_staff_list[RoleRef],tbl_staff_list[Role]=tbl_project_planner[[#This Row],[Role]],),,),"")</f>
        <v>RoleRef_2</v>
      </c>
      <c r="R41" s="82" t="b" cm="1">
        <f t="array" ref="R41">IFERROR(IF(ISNUMBER(MATCH(tbl_project_planner[[#This Row],[Assigned To]], _xlfn._xlws.FILTER(tbl_staff_list[Name], tbl_staff_list[Role] = tbl_project_planner[[#This Row],[Role]]), 0)), FALSE, TRUE), "No Staff Assigned")</f>
        <v>0</v>
      </c>
      <c r="T41" s="188"/>
      <c r="U41" s="11"/>
      <c r="V41" s="11"/>
      <c r="W41" s="163"/>
      <c r="X41"/>
      <c r="Y41"/>
    </row>
    <row r="42" spans="2:25" x14ac:dyDescent="0.25">
      <c r="B42" s="451" t="s">
        <v>220</v>
      </c>
      <c r="C42" s="433" t="s">
        <v>221</v>
      </c>
      <c r="D42" s="369" t="s">
        <v>4</v>
      </c>
      <c r="E42" s="370" cm="1">
        <f t="array" ref="E4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45754</v>
      </c>
      <c r="F42" s="377" cm="1">
        <f t="array" ref="F42">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45758</v>
      </c>
      <c r="G42" s="395">
        <v>5</v>
      </c>
      <c r="H42" s="395">
        <v>5</v>
      </c>
      <c r="I42" s="396">
        <v>0</v>
      </c>
      <c r="J42" s="395" t="s">
        <v>76</v>
      </c>
      <c r="K42" s="394"/>
      <c r="L42" s="394" t="s">
        <v>282</v>
      </c>
      <c r="M42" s="394" t="s">
        <v>114</v>
      </c>
      <c r="N42" s="378">
        <f>tbl_project_planner[[#This Row],[End Date]]-tbl_project_planner[[#This Row],[Start Date]]+1</f>
        <v>5</v>
      </c>
      <c r="O42" s="379">
        <f>COUNTIFS(tbl_staff_holidays[Date], "&gt;=" &amp; tbl_project_planner[[#This Row],[Start Date]], tbl_staff_holidays[Date], "&lt;=" &amp; tbl_project_planner[[#This Row],[End Date]], tbl_staff_holidays[Staff], tbl_project_planner[[#This Row],[Assigned To]])</f>
        <v>0</v>
      </c>
      <c r="P42" s="376">
        <f>IF(OR(tbl_project_planner[[#This Row],[End Date]]="",tbl_project_planner[[#This Row],[End Date]]="#N/A"),WEEKDAY(tbl_project_planner[[#This Row],[Start Date]],1),WEEKDAY(tbl_project_planner[[#This Row],[End Date]],1))</f>
        <v>6</v>
      </c>
      <c r="Q42" s="82" t="str" cm="1">
        <f t="array" ref="Q42">IFERROR(_xlfn.UNIQUE(_xlfn._xlws.FILTER(tbl_staff_list[RoleRef],tbl_staff_list[Role]=tbl_project_planner[[#This Row],[Role]],),,),"")</f>
        <v>RoleRef_4</v>
      </c>
      <c r="R42" s="82" t="b" cm="1">
        <f t="array" ref="R42">IFERROR(IF(ISNUMBER(MATCH(tbl_project_planner[[#This Row],[Assigned To]], _xlfn._xlws.FILTER(tbl_staff_list[Name], tbl_staff_list[Role] = tbl_project_planner[[#This Row],[Role]]), 0)), FALSE, TRUE), "No Staff Assigned")</f>
        <v>0</v>
      </c>
      <c r="T42" s="188"/>
      <c r="U42" s="11"/>
      <c r="V42" s="11"/>
      <c r="W42" s="163"/>
      <c r="X42"/>
      <c r="Y42"/>
    </row>
    <row r="43" spans="2:25" ht="16.5" thickBot="1" x14ac:dyDescent="0.3">
      <c r="B43" s="451" t="s">
        <v>222</v>
      </c>
      <c r="C43" s="433" t="s">
        <v>223</v>
      </c>
      <c r="D43" s="369" t="s">
        <v>5</v>
      </c>
      <c r="E43" s="370" cm="1">
        <f t="array" ref="E43">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45754</v>
      </c>
      <c r="F43" s="380" cm="1">
        <f t="array" ref="F43">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45758</v>
      </c>
      <c r="G43" s="395">
        <v>5</v>
      </c>
      <c r="H43" s="395">
        <v>5</v>
      </c>
      <c r="I43" s="396">
        <v>0</v>
      </c>
      <c r="J43" s="395" t="s">
        <v>76</v>
      </c>
      <c r="K43" s="394"/>
      <c r="L43" s="394" t="s">
        <v>285</v>
      </c>
      <c r="M43" s="394" t="s">
        <v>115</v>
      </c>
      <c r="N43" s="378">
        <f>tbl_project_planner[[#This Row],[End Date]]-tbl_project_planner[[#This Row],[Start Date]]+1</f>
        <v>5</v>
      </c>
      <c r="O43" s="381">
        <f>COUNTIFS(tbl_staff_holidays[Date], "&gt;=" &amp; tbl_project_planner[[#This Row],[Start Date]], tbl_staff_holidays[Date], "&lt;=" &amp; tbl_project_planner[[#This Row],[End Date]], tbl_staff_holidays[Staff], tbl_project_planner[[#This Row],[Assigned To]])</f>
        <v>0</v>
      </c>
      <c r="P43" s="376">
        <f>IF(OR(tbl_project_planner[[#This Row],[End Date]]="",tbl_project_planner[[#This Row],[End Date]]="#N/A"),WEEKDAY(tbl_project_planner[[#This Row],[Start Date]],1),WEEKDAY(tbl_project_planner[[#This Row],[End Date]],1))</f>
        <v>6</v>
      </c>
      <c r="Q43" s="82" t="str" cm="1">
        <f t="array" ref="Q43">IFERROR(_xlfn.UNIQUE(_xlfn._xlws.FILTER(tbl_staff_list[RoleRef],tbl_staff_list[Role]=tbl_project_planner[[#This Row],[Role]],),,),"")</f>
        <v>RoleRef_7</v>
      </c>
      <c r="R43" s="82" t="b" cm="1">
        <f t="array" ref="R43">IFERROR(IF(ISNUMBER(MATCH(tbl_project_planner[[#This Row],[Assigned To]], _xlfn._xlws.FILTER(tbl_staff_list[Name], tbl_staff_list[Role] = tbl_project_planner[[#This Row],[Role]]), 0)), FALSE, TRUE), "No Staff Assigned")</f>
        <v>0</v>
      </c>
      <c r="T43" s="188"/>
      <c r="U43" s="11"/>
      <c r="V43" s="11"/>
      <c r="W43" s="163"/>
      <c r="X43"/>
      <c r="Y43"/>
    </row>
    <row r="44" spans="2:25" ht="16.5" thickTop="1" x14ac:dyDescent="0.25">
      <c r="B44" s="452"/>
      <c r="C44" s="431"/>
      <c r="D44" s="382" t="s">
        <v>90</v>
      </c>
      <c r="E44" s="383">
        <f>MAX(F39:F43)</f>
        <v>45758</v>
      </c>
      <c r="F44" s="397"/>
      <c r="G44" s="385">
        <f>SUMIF(I39:I43,"&lt;&gt;N/A",G39:G43)</f>
        <v>25</v>
      </c>
      <c r="H44" s="385">
        <f>SUMIF($I39:$I43,"&lt;&gt;N/A",H39:H43)</f>
        <v>25</v>
      </c>
      <c r="I44" s="398"/>
      <c r="J44" s="399"/>
      <c r="K44" s="399"/>
      <c r="L44" s="399"/>
      <c r="M44" s="399"/>
      <c r="N44" s="388">
        <f>SUM(N38:N43)</f>
        <v>25</v>
      </c>
      <c r="O44" s="400"/>
      <c r="P44" s="389">
        <f>IF(OR(tbl_project_planner[[#This Row],[End Date]]="",tbl_project_planner[[#This Row],[End Date]]="#N/A"),WEEKDAY(tbl_project_planner[[#This Row],[Start Date]],1),WEEKDAY(tbl_project_planner[[#This Row],[End Date]],1))</f>
        <v>6</v>
      </c>
      <c r="Q44" s="82" t="str" cm="1">
        <f t="array" ref="Q44">IFERROR(_xlfn.UNIQUE(_xlfn._xlws.FILTER(tbl_staff_list[RoleRef],tbl_staff_list[Role]=tbl_project_planner[[#This Row],[Role]],),,),"")</f>
        <v/>
      </c>
      <c r="T44" s="188"/>
      <c r="U44" s="11"/>
      <c r="V44" s="11"/>
      <c r="W44" s="163"/>
      <c r="X44"/>
      <c r="Y44"/>
    </row>
    <row r="45" spans="2:25" x14ac:dyDescent="0.25">
      <c r="B45" s="453" t="s">
        <v>224</v>
      </c>
      <c r="C45" s="436" t="s">
        <v>225</v>
      </c>
      <c r="D45" s="362" t="s">
        <v>30</v>
      </c>
      <c r="E45" s="363" cm="1">
        <f t="array" ref="E45">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45761</v>
      </c>
      <c r="F45" s="401"/>
      <c r="G45" s="365"/>
      <c r="H45" s="365"/>
      <c r="I45" s="365"/>
      <c r="J45" s="341" t="s">
        <v>222</v>
      </c>
      <c r="K45" s="366"/>
      <c r="L45" s="366"/>
      <c r="M45" s="366"/>
      <c r="N45" s="341"/>
      <c r="O45" s="341"/>
      <c r="P45" s="367">
        <f>IF(OR(tbl_project_planner[[#This Row],[End Date]]="",tbl_project_planner[[#This Row],[End Date]]="#N/A"),WEEKDAY(tbl_project_planner[[#This Row],[Start Date]],1),WEEKDAY(tbl_project_planner[[#This Row],[End Date]],1))</f>
        <v>2</v>
      </c>
      <c r="Q45" s="82" t="str" cm="1">
        <f t="array" ref="Q45">IFERROR(_xlfn.UNIQUE(_xlfn._xlws.FILTER(tbl_staff_list[RoleRef],tbl_staff_list[Role]=tbl_project_planner[[#This Row],[Role]],),,),"")</f>
        <v/>
      </c>
      <c r="T45" s="188"/>
      <c r="U45" s="11"/>
      <c r="V45" s="11"/>
      <c r="W45" s="163"/>
      <c r="X45"/>
      <c r="Y45"/>
    </row>
    <row r="46" spans="2:25" x14ac:dyDescent="0.25">
      <c r="B46" s="454" t="s">
        <v>77</v>
      </c>
      <c r="C46" s="18" t="s">
        <v>226</v>
      </c>
      <c r="D46" s="369" t="s">
        <v>1</v>
      </c>
      <c r="E46" s="370" cm="1">
        <f t="array" ref="E46">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46" s="371" cm="1">
        <f t="array" ref="F46">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45761</v>
      </c>
      <c r="G46" s="341">
        <v>1</v>
      </c>
      <c r="H46" s="341">
        <v>1</v>
      </c>
      <c r="I46" s="372">
        <v>0</v>
      </c>
      <c r="J46" s="341" t="s">
        <v>222</v>
      </c>
      <c r="K46" s="340"/>
      <c r="L46" s="340" t="s">
        <v>289</v>
      </c>
      <c r="M46" s="340" t="s">
        <v>108</v>
      </c>
      <c r="N46" s="374">
        <f>tbl_project_planner[[#This Row],[End Date]]-tbl_project_planner[[#This Row],[Start Date]]+1</f>
        <v>1</v>
      </c>
      <c r="O46" s="375">
        <f>COUNTIFS(tbl_staff_holidays[Date], "&gt;=" &amp; tbl_project_planner[[#This Row],[Start Date]], tbl_staff_holidays[Date], "&lt;=" &amp; tbl_project_planner[[#This Row],[End Date]], tbl_staff_holidays[Staff], tbl_project_planner[[#This Row],[Assigned To]])</f>
        <v>0</v>
      </c>
      <c r="P46" s="376">
        <f>IF(OR(tbl_project_planner[[#This Row],[End Date]]="",tbl_project_planner[[#This Row],[End Date]]="#N/A"),WEEKDAY(tbl_project_planner[[#This Row],[Start Date]],1),WEEKDAY(tbl_project_planner[[#This Row],[End Date]],1))</f>
        <v>2</v>
      </c>
      <c r="Q46" s="82" t="str" cm="1">
        <f t="array" ref="Q46">IFERROR(_xlfn.UNIQUE(_xlfn._xlws.FILTER(tbl_staff_list[RoleRef],tbl_staff_list[Role]=tbl_project_planner[[#This Row],[Role]],),,),"")</f>
        <v>RoleRef_10</v>
      </c>
      <c r="R46" s="82" t="b" cm="1">
        <f t="array" ref="R46">IFERROR(IF(ISNUMBER(MATCH(tbl_project_planner[[#This Row],[Assigned To]], _xlfn._xlws.FILTER(tbl_staff_list[Name], tbl_staff_list[Role] = tbl_project_planner[[#This Row],[Role]]), 0)), FALSE, TRUE), "No Staff Assigned")</f>
        <v>0</v>
      </c>
      <c r="T46" s="188"/>
      <c r="U46" s="11"/>
      <c r="V46" s="11"/>
      <c r="W46" s="163"/>
      <c r="X46"/>
      <c r="Y46"/>
    </row>
    <row r="47" spans="2:25" x14ac:dyDescent="0.25">
      <c r="B47" s="454" t="s">
        <v>227</v>
      </c>
      <c r="C47" s="18" t="s">
        <v>228</v>
      </c>
      <c r="D47" s="369" t="s">
        <v>2</v>
      </c>
      <c r="E47" s="370" cm="1">
        <f t="array" ref="E4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47" s="377" cm="1">
        <f t="array" ref="F47">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45761</v>
      </c>
      <c r="G47" s="341">
        <v>1</v>
      </c>
      <c r="H47" s="341">
        <v>1</v>
      </c>
      <c r="I47" s="372">
        <v>0</v>
      </c>
      <c r="J47" s="341" t="s">
        <v>222</v>
      </c>
      <c r="K47" s="340"/>
      <c r="L47" s="340" t="s">
        <v>295</v>
      </c>
      <c r="M47" s="340" t="s">
        <v>106</v>
      </c>
      <c r="N47" s="378">
        <f>tbl_project_planner[[#This Row],[End Date]]-tbl_project_planner[[#This Row],[Start Date]]+1</f>
        <v>1</v>
      </c>
      <c r="O47" s="379">
        <f>COUNTIFS(tbl_staff_holidays[Date], "&gt;=" &amp; tbl_project_planner[[#This Row],[Start Date]], tbl_staff_holidays[Date], "&lt;=" &amp; tbl_project_planner[[#This Row],[End Date]], tbl_staff_holidays[Staff], tbl_project_planner[[#This Row],[Assigned To]])</f>
        <v>0</v>
      </c>
      <c r="P47" s="376">
        <f>IF(OR(tbl_project_planner[[#This Row],[End Date]]="",tbl_project_planner[[#This Row],[End Date]]="#N/A"),WEEKDAY(tbl_project_planner[[#This Row],[Start Date]],1),WEEKDAY(tbl_project_planner[[#This Row],[End Date]],1))</f>
        <v>2</v>
      </c>
      <c r="Q47" s="82" t="str" cm="1">
        <f t="array" ref="Q47">IFERROR(_xlfn.UNIQUE(_xlfn._xlws.FILTER(tbl_staff_list[RoleRef],tbl_staff_list[Role]=tbl_project_planner[[#This Row],[Role]],),,),"")</f>
        <v>RoleRef_11</v>
      </c>
      <c r="R47" s="82" t="b" cm="1">
        <f t="array" ref="R47">IFERROR(IF(ISNUMBER(MATCH(tbl_project_planner[[#This Row],[Assigned To]], _xlfn._xlws.FILTER(tbl_staff_list[Name], tbl_staff_list[Role] = tbl_project_planner[[#This Row],[Role]]), 0)), FALSE, TRUE), "No Staff Assigned")</f>
        <v>0</v>
      </c>
      <c r="T47" s="188"/>
      <c r="U47" s="11"/>
      <c r="V47" s="11"/>
      <c r="W47" s="163"/>
      <c r="X47"/>
      <c r="Y47"/>
    </row>
    <row r="48" spans="2:25" x14ac:dyDescent="0.25">
      <c r="B48" s="454" t="s">
        <v>229</v>
      </c>
      <c r="C48" s="18" t="s">
        <v>230</v>
      </c>
      <c r="D48" s="369" t="s">
        <v>3</v>
      </c>
      <c r="E48" s="370" cm="1">
        <f t="array" ref="E4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48" s="377" cm="1">
        <f t="array" ref="F48">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45761</v>
      </c>
      <c r="G48" s="341">
        <v>1</v>
      </c>
      <c r="H48" s="341">
        <v>1</v>
      </c>
      <c r="I48" s="372">
        <v>0</v>
      </c>
      <c r="J48" s="341" t="s">
        <v>222</v>
      </c>
      <c r="K48" s="340"/>
      <c r="L48" s="340" t="s">
        <v>289</v>
      </c>
      <c r="M48" s="340" t="s">
        <v>108</v>
      </c>
      <c r="N48" s="378">
        <f>tbl_project_planner[[#This Row],[End Date]]-tbl_project_planner[[#This Row],[Start Date]]+1</f>
        <v>1</v>
      </c>
      <c r="O48" s="379">
        <f>COUNTIFS(tbl_staff_holidays[Date], "&gt;=" &amp; tbl_project_planner[[#This Row],[Start Date]], tbl_staff_holidays[Date], "&lt;=" &amp; tbl_project_planner[[#This Row],[End Date]], tbl_staff_holidays[Staff], tbl_project_planner[[#This Row],[Assigned To]])</f>
        <v>0</v>
      </c>
      <c r="P48" s="376">
        <f>IF(OR(tbl_project_planner[[#This Row],[End Date]]="",tbl_project_planner[[#This Row],[End Date]]="#N/A"),WEEKDAY(tbl_project_planner[[#This Row],[Start Date]],1),WEEKDAY(tbl_project_planner[[#This Row],[End Date]],1))</f>
        <v>2</v>
      </c>
      <c r="Q48" s="82" t="str" cm="1">
        <f t="array" ref="Q48">IFERROR(_xlfn.UNIQUE(_xlfn._xlws.FILTER(tbl_staff_list[RoleRef],tbl_staff_list[Role]=tbl_project_planner[[#This Row],[Role]],),,),"")</f>
        <v>RoleRef_10</v>
      </c>
      <c r="R48" s="82" t="b" cm="1">
        <f t="array" ref="R48">IFERROR(IF(ISNUMBER(MATCH(tbl_project_planner[[#This Row],[Assigned To]], _xlfn._xlws.FILTER(tbl_staff_list[Name], tbl_staff_list[Role] = tbl_project_planner[[#This Row],[Role]]), 0)), FALSE, TRUE), "No Staff Assigned")</f>
        <v>0</v>
      </c>
      <c r="T48" s="188"/>
      <c r="U48" s="11"/>
      <c r="V48" s="11"/>
      <c r="W48" s="163"/>
      <c r="X48"/>
      <c r="Y48"/>
    </row>
    <row r="49" spans="2:25" x14ac:dyDescent="0.25">
      <c r="B49" s="454" t="s">
        <v>231</v>
      </c>
      <c r="C49" s="18" t="s">
        <v>232</v>
      </c>
      <c r="D49" s="369" t="s">
        <v>4</v>
      </c>
      <c r="E49" s="370" cm="1">
        <f t="array" ref="E49">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49" s="377" cm="1">
        <f t="array" ref="F49">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45761</v>
      </c>
      <c r="G49" s="341">
        <v>1</v>
      </c>
      <c r="H49" s="341">
        <v>1</v>
      </c>
      <c r="I49" s="372">
        <v>0</v>
      </c>
      <c r="J49" s="341" t="s">
        <v>222</v>
      </c>
      <c r="K49" s="340"/>
      <c r="L49" s="340" t="s">
        <v>285</v>
      </c>
      <c r="M49" s="340" t="s">
        <v>115</v>
      </c>
      <c r="N49" s="378">
        <f>tbl_project_planner[[#This Row],[End Date]]-tbl_project_planner[[#This Row],[Start Date]]+1</f>
        <v>1</v>
      </c>
      <c r="O49" s="379">
        <f>COUNTIFS(tbl_staff_holidays[Date], "&gt;=" &amp; tbl_project_planner[[#This Row],[Start Date]], tbl_staff_holidays[Date], "&lt;=" &amp; tbl_project_planner[[#This Row],[End Date]], tbl_staff_holidays[Staff], tbl_project_planner[[#This Row],[Assigned To]])</f>
        <v>0</v>
      </c>
      <c r="P49" s="376">
        <f>IF(OR(tbl_project_planner[[#This Row],[End Date]]="",tbl_project_planner[[#This Row],[End Date]]="#N/A"),WEEKDAY(tbl_project_planner[[#This Row],[Start Date]],1),WEEKDAY(tbl_project_planner[[#This Row],[End Date]],1))</f>
        <v>2</v>
      </c>
      <c r="Q49" s="82" t="str" cm="1">
        <f t="array" ref="Q49">IFERROR(_xlfn.UNIQUE(_xlfn._xlws.FILTER(tbl_staff_list[RoleRef],tbl_staff_list[Role]=tbl_project_planner[[#This Row],[Role]],),,),"")</f>
        <v>RoleRef_7</v>
      </c>
      <c r="R49" s="82" t="b" cm="1">
        <f t="array" ref="R49">IFERROR(IF(ISNUMBER(MATCH(tbl_project_planner[[#This Row],[Assigned To]], _xlfn._xlws.FILTER(tbl_staff_list[Name], tbl_staff_list[Role] = tbl_project_planner[[#This Row],[Role]]), 0)), FALSE, TRUE), "No Staff Assigned")</f>
        <v>0</v>
      </c>
      <c r="T49" s="188"/>
      <c r="U49" s="11"/>
      <c r="V49" s="11"/>
      <c r="W49" s="163"/>
      <c r="X49"/>
      <c r="Y49"/>
    </row>
    <row r="50" spans="2:25" ht="16.5" thickBot="1" x14ac:dyDescent="0.3">
      <c r="B50" s="454" t="s">
        <v>233</v>
      </c>
      <c r="C50" s="18" t="s">
        <v>234</v>
      </c>
      <c r="D50" s="369" t="s">
        <v>5</v>
      </c>
      <c r="E50" s="370" cm="1">
        <f t="array" ref="E5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50" s="380" cm="1">
        <f t="array" ref="F50">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45761</v>
      </c>
      <c r="G50" s="341">
        <v>1</v>
      </c>
      <c r="H50" s="341">
        <v>1</v>
      </c>
      <c r="I50" s="372">
        <v>0</v>
      </c>
      <c r="J50" s="341" t="s">
        <v>222</v>
      </c>
      <c r="K50" s="340"/>
      <c r="L50" s="340" t="s">
        <v>286</v>
      </c>
      <c r="M50" s="340" t="s">
        <v>105</v>
      </c>
      <c r="N50" s="378">
        <f>tbl_project_planner[[#This Row],[End Date]]-tbl_project_planner[[#This Row],[Start Date]]+1</f>
        <v>1</v>
      </c>
      <c r="O50" s="381">
        <f>COUNTIFS(tbl_staff_holidays[Date], "&gt;=" &amp; tbl_project_planner[[#This Row],[Start Date]], tbl_staff_holidays[Date], "&lt;=" &amp; tbl_project_planner[[#This Row],[End Date]], tbl_staff_holidays[Staff], tbl_project_planner[[#This Row],[Assigned To]])</f>
        <v>0</v>
      </c>
      <c r="P50" s="376">
        <f>IF(OR(tbl_project_planner[[#This Row],[End Date]]="",tbl_project_planner[[#This Row],[End Date]]="#N/A"),WEEKDAY(tbl_project_planner[[#This Row],[Start Date]],1),WEEKDAY(tbl_project_planner[[#This Row],[End Date]],1))</f>
        <v>2</v>
      </c>
      <c r="Q50" s="82" t="str" cm="1">
        <f t="array" ref="Q50">IFERROR(_xlfn.UNIQUE(_xlfn._xlws.FILTER(tbl_staff_list[RoleRef],tbl_staff_list[Role]=tbl_project_planner[[#This Row],[Role]],),,),"")</f>
        <v>RoleRef_8</v>
      </c>
      <c r="R50" s="82" t="b" cm="1">
        <f t="array" ref="R50">IFERROR(IF(ISNUMBER(MATCH(tbl_project_planner[[#This Row],[Assigned To]], _xlfn._xlws.FILTER(tbl_staff_list[Name], tbl_staff_list[Role] = tbl_project_planner[[#This Row],[Role]]), 0)), FALSE, TRUE), "No Staff Assigned")</f>
        <v>0</v>
      </c>
      <c r="T50" s="188"/>
      <c r="U50" s="11"/>
      <c r="V50" s="11"/>
      <c r="W50" s="163"/>
      <c r="X50"/>
      <c r="Y50"/>
    </row>
    <row r="51" spans="2:25" ht="16.5" thickTop="1" x14ac:dyDescent="0.25">
      <c r="B51" s="441"/>
      <c r="C51" s="431"/>
      <c r="D51" s="382" t="s">
        <v>90</v>
      </c>
      <c r="E51" s="383">
        <f>MAX(F46:F50)</f>
        <v>45761</v>
      </c>
      <c r="F51" s="384"/>
      <c r="G51" s="385">
        <f>SUMIF(I46:I50,"&lt;&gt;N/A",G46:G50)</f>
        <v>5</v>
      </c>
      <c r="H51" s="385">
        <f>SUMIF($I46:$I50,"&lt;&gt;N/A",H46:H50)</f>
        <v>5</v>
      </c>
      <c r="I51" s="386"/>
      <c r="J51" s="386"/>
      <c r="K51" s="387"/>
      <c r="L51" s="387"/>
      <c r="M51" s="387"/>
      <c r="N51" s="388">
        <f>SUM(N45:N50)</f>
        <v>5</v>
      </c>
      <c r="O51" s="386"/>
      <c r="P51" s="389">
        <f>IF(OR(tbl_project_planner[[#This Row],[End Date]]="",tbl_project_planner[[#This Row],[End Date]]="#N/A"),WEEKDAY(tbl_project_planner[[#This Row],[Start Date]],1),WEEKDAY(tbl_project_planner[[#This Row],[End Date]],1))</f>
        <v>2</v>
      </c>
      <c r="Q51" s="82" t="str" cm="1">
        <f t="array" ref="Q51">IFERROR(_xlfn.UNIQUE(_xlfn._xlws.FILTER(tbl_staff_list[RoleRef],tbl_staff_list[Role]=tbl_project_planner[[#This Row],[Role]],),,),"")</f>
        <v/>
      </c>
      <c r="T51" s="188"/>
      <c r="U51" s="11"/>
      <c r="V51" s="11"/>
      <c r="W51" s="163"/>
      <c r="X51"/>
      <c r="Y51"/>
    </row>
    <row r="52" spans="2:25" x14ac:dyDescent="0.25">
      <c r="B52" s="455" t="s">
        <v>235</v>
      </c>
      <c r="C52" s="437" t="s">
        <v>236</v>
      </c>
      <c r="D52" s="362" t="s">
        <v>30</v>
      </c>
      <c r="E52" s="363" cm="1">
        <f t="array" ref="E5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45761</v>
      </c>
      <c r="F52" s="390"/>
      <c r="G52" s="391"/>
      <c r="H52" s="391"/>
      <c r="I52" s="391"/>
      <c r="J52" s="391" t="s">
        <v>222</v>
      </c>
      <c r="K52" s="392"/>
      <c r="L52" s="392"/>
      <c r="M52" s="392"/>
      <c r="N52" s="393"/>
      <c r="O52" s="393"/>
      <c r="P52" s="367">
        <f>IF(OR(tbl_project_planner[[#This Row],[End Date]]="",tbl_project_planner[[#This Row],[End Date]]="#N/A"),WEEKDAY(tbl_project_planner[[#This Row],[Start Date]],1),WEEKDAY(tbl_project_planner[[#This Row],[End Date]],1))</f>
        <v>2</v>
      </c>
      <c r="Q52" s="82" t="str" cm="1">
        <f t="array" ref="Q52">IFERROR(_xlfn.UNIQUE(_xlfn._xlws.FILTER(tbl_staff_list[RoleRef],tbl_staff_list[Role]=tbl_project_planner[[#This Row],[Role]],),,),"")</f>
        <v/>
      </c>
      <c r="T52" s="188"/>
      <c r="U52" s="11"/>
      <c r="V52" s="11"/>
      <c r="W52" s="163"/>
      <c r="X52"/>
      <c r="Y52"/>
    </row>
    <row r="53" spans="2:25" x14ac:dyDescent="0.25">
      <c r="B53" s="456" t="s">
        <v>237</v>
      </c>
      <c r="C53" s="433" t="s">
        <v>238</v>
      </c>
      <c r="D53" s="369" t="s">
        <v>1</v>
      </c>
      <c r="E53" s="370" cm="1">
        <f t="array" ref="E53">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53" s="371" cm="1">
        <f t="array" ref="F53">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45776</v>
      </c>
      <c r="G53" s="395">
        <v>10</v>
      </c>
      <c r="H53" s="395">
        <v>10</v>
      </c>
      <c r="I53" s="396">
        <v>0</v>
      </c>
      <c r="J53" s="395" t="s">
        <v>222</v>
      </c>
      <c r="K53" s="394"/>
      <c r="L53" s="394" t="s">
        <v>288</v>
      </c>
      <c r="M53" s="394" t="s">
        <v>111</v>
      </c>
      <c r="N53" s="374">
        <f>tbl_project_planner[[#This Row],[End Date]]-tbl_project_planner[[#This Row],[Start Date]]+1</f>
        <v>16</v>
      </c>
      <c r="O53" s="375">
        <f>COUNTIFS(tbl_staff_holidays[Date], "&gt;=" &amp; tbl_project_planner[[#This Row],[Start Date]], tbl_staff_holidays[Date], "&lt;=" &amp; tbl_project_planner[[#This Row],[End Date]], tbl_staff_holidays[Staff], tbl_project_planner[[#This Row],[Assigned To]])</f>
        <v>0</v>
      </c>
      <c r="P53" s="376">
        <f>IF(OR(tbl_project_planner[[#This Row],[End Date]]="",tbl_project_planner[[#This Row],[End Date]]="#N/A"),WEEKDAY(tbl_project_planner[[#This Row],[Start Date]],1),WEEKDAY(tbl_project_planner[[#This Row],[End Date]],1))</f>
        <v>3</v>
      </c>
      <c r="Q53" s="82" t="str" cm="1">
        <f t="array" ref="Q53">IFERROR(_xlfn.UNIQUE(_xlfn._xlws.FILTER(tbl_staff_list[RoleRef],tbl_staff_list[Role]=tbl_project_planner[[#This Row],[Role]],),,),"")</f>
        <v>RoleRef_9</v>
      </c>
      <c r="R53" s="82" t="b" cm="1">
        <f t="array" ref="R53">IFERROR(IF(ISNUMBER(MATCH(tbl_project_planner[[#This Row],[Assigned To]], _xlfn._xlws.FILTER(tbl_staff_list[Name], tbl_staff_list[Role] = tbl_project_planner[[#This Row],[Role]]), 0)), FALSE, TRUE), "No Staff Assigned")</f>
        <v>0</v>
      </c>
      <c r="T53" s="188"/>
      <c r="U53" s="11"/>
      <c r="V53" s="11"/>
      <c r="W53" s="163"/>
      <c r="X53"/>
      <c r="Y53"/>
    </row>
    <row r="54" spans="2:25" x14ac:dyDescent="0.25">
      <c r="B54" s="456" t="s">
        <v>239</v>
      </c>
      <c r="C54" s="433" t="s">
        <v>240</v>
      </c>
      <c r="D54" s="369" t="s">
        <v>2</v>
      </c>
      <c r="E54" s="370" cm="1">
        <f t="array" ref="E54">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54" s="377" cm="1">
        <f t="array" ref="F54">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45769</v>
      </c>
      <c r="G54" s="395">
        <v>5</v>
      </c>
      <c r="H54" s="395">
        <v>5</v>
      </c>
      <c r="I54" s="396">
        <v>0</v>
      </c>
      <c r="J54" s="395" t="s">
        <v>222</v>
      </c>
      <c r="K54" s="394"/>
      <c r="L54" s="394" t="s">
        <v>293</v>
      </c>
      <c r="M54" s="394" t="s">
        <v>113</v>
      </c>
      <c r="N54" s="378">
        <f>tbl_project_planner[[#This Row],[End Date]]-tbl_project_planner[[#This Row],[Start Date]]+1</f>
        <v>9</v>
      </c>
      <c r="O54" s="379">
        <f>COUNTIFS(tbl_staff_holidays[Date], "&gt;=" &amp; tbl_project_planner[[#This Row],[Start Date]], tbl_staff_holidays[Date], "&lt;=" &amp; tbl_project_planner[[#This Row],[End Date]], tbl_staff_holidays[Staff], tbl_project_planner[[#This Row],[Assigned To]])</f>
        <v>0</v>
      </c>
      <c r="P54" s="376">
        <f>IF(OR(tbl_project_planner[[#This Row],[End Date]]="",tbl_project_planner[[#This Row],[End Date]]="#N/A"),WEEKDAY(tbl_project_planner[[#This Row],[Start Date]],1),WEEKDAY(tbl_project_planner[[#This Row],[End Date]],1))</f>
        <v>3</v>
      </c>
      <c r="Q54" s="82" t="str" cm="1">
        <f t="array" ref="Q54">IFERROR(_xlfn.UNIQUE(_xlfn._xlws.FILTER(tbl_staff_list[RoleRef],tbl_staff_list[Role]=tbl_project_planner[[#This Row],[Role]],),,),"")</f>
        <v>RoleRef_6</v>
      </c>
      <c r="R54" s="82" t="b" cm="1">
        <f t="array" ref="R54">IFERROR(IF(ISNUMBER(MATCH(tbl_project_planner[[#This Row],[Assigned To]], _xlfn._xlws.FILTER(tbl_staff_list[Name], tbl_staff_list[Role] = tbl_project_planner[[#This Row],[Role]]), 0)), FALSE, TRUE), "No Staff Assigned")</f>
        <v>0</v>
      </c>
      <c r="T54" s="188"/>
      <c r="U54" s="11"/>
      <c r="V54" s="11"/>
      <c r="W54" s="163"/>
      <c r="X54"/>
      <c r="Y54"/>
    </row>
    <row r="55" spans="2:25" x14ac:dyDescent="0.25">
      <c r="B55" s="456" t="s">
        <v>241</v>
      </c>
      <c r="C55" s="433" t="s">
        <v>242</v>
      </c>
      <c r="D55" s="369" t="s">
        <v>3</v>
      </c>
      <c r="E55" s="370" cm="1">
        <f t="array" ref="E55">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55" s="377" cm="1">
        <f t="array" ref="F55">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45776</v>
      </c>
      <c r="G55" s="395">
        <v>10</v>
      </c>
      <c r="H55" s="395">
        <v>10</v>
      </c>
      <c r="I55" s="396">
        <v>0</v>
      </c>
      <c r="J55" s="395" t="s">
        <v>222</v>
      </c>
      <c r="K55" s="394"/>
      <c r="L55" s="394" t="s">
        <v>282</v>
      </c>
      <c r="M55" s="394" t="s">
        <v>114</v>
      </c>
      <c r="N55" s="378">
        <f>tbl_project_planner[[#This Row],[End Date]]-tbl_project_planner[[#This Row],[Start Date]]+1</f>
        <v>16</v>
      </c>
      <c r="O55" s="379">
        <f>COUNTIFS(tbl_staff_holidays[Date], "&gt;=" &amp; tbl_project_planner[[#This Row],[Start Date]], tbl_staff_holidays[Date], "&lt;=" &amp; tbl_project_planner[[#This Row],[End Date]], tbl_staff_holidays[Staff], tbl_project_planner[[#This Row],[Assigned To]])</f>
        <v>0</v>
      </c>
      <c r="P55" s="376">
        <f>IF(OR(tbl_project_planner[[#This Row],[End Date]]="",tbl_project_planner[[#This Row],[End Date]]="#N/A"),WEEKDAY(tbl_project_planner[[#This Row],[Start Date]],1),WEEKDAY(tbl_project_planner[[#This Row],[End Date]],1))</f>
        <v>3</v>
      </c>
      <c r="Q55" s="82" t="str" cm="1">
        <f t="array" ref="Q55">IFERROR(_xlfn.UNIQUE(_xlfn._xlws.FILTER(tbl_staff_list[RoleRef],tbl_staff_list[Role]=tbl_project_planner[[#This Row],[Role]],),,),"")</f>
        <v>RoleRef_4</v>
      </c>
      <c r="R55" s="82" t="b" cm="1">
        <f t="array" ref="R55">IFERROR(IF(ISNUMBER(MATCH(tbl_project_planner[[#This Row],[Assigned To]], _xlfn._xlws.FILTER(tbl_staff_list[Name], tbl_staff_list[Role] = tbl_project_planner[[#This Row],[Role]]), 0)), FALSE, TRUE), "No Staff Assigned")</f>
        <v>0</v>
      </c>
      <c r="T55" s="188"/>
      <c r="U55" s="11"/>
      <c r="V55" s="11"/>
      <c r="W55" s="163"/>
      <c r="X55"/>
      <c r="Y55"/>
    </row>
    <row r="56" spans="2:25" x14ac:dyDescent="0.25">
      <c r="B56" s="456" t="s">
        <v>243</v>
      </c>
      <c r="C56" s="433" t="s">
        <v>244</v>
      </c>
      <c r="D56" s="369" t="s">
        <v>4</v>
      </c>
      <c r="E56" s="370" cm="1">
        <f t="array" ref="E56">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45762</v>
      </c>
      <c r="F56" s="377" cm="1">
        <f t="array" ref="F56">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45777</v>
      </c>
      <c r="G56" s="395">
        <v>10</v>
      </c>
      <c r="H56" s="395">
        <v>10</v>
      </c>
      <c r="I56" s="396">
        <v>0</v>
      </c>
      <c r="J56" s="395" t="s">
        <v>227</v>
      </c>
      <c r="K56" s="394"/>
      <c r="L56" s="394" t="s">
        <v>290</v>
      </c>
      <c r="M56" s="394" t="s">
        <v>106</v>
      </c>
      <c r="N56" s="378">
        <f>tbl_project_planner[[#This Row],[End Date]]-tbl_project_planner[[#This Row],[Start Date]]+1</f>
        <v>16</v>
      </c>
      <c r="O56" s="379">
        <f>COUNTIFS(tbl_staff_holidays[Date], "&gt;=" &amp; tbl_project_planner[[#This Row],[Start Date]], tbl_staff_holidays[Date], "&lt;=" &amp; tbl_project_planner[[#This Row],[End Date]], tbl_staff_holidays[Staff], tbl_project_planner[[#This Row],[Assigned To]])</f>
        <v>0</v>
      </c>
      <c r="P56" s="376">
        <f>IF(OR(tbl_project_planner[[#This Row],[End Date]]="",tbl_project_planner[[#This Row],[End Date]]="#N/A"),WEEKDAY(tbl_project_planner[[#This Row],[Start Date]],1),WEEKDAY(tbl_project_planner[[#This Row],[End Date]],1))</f>
        <v>4</v>
      </c>
      <c r="Q56" s="82" t="str" cm="1">
        <f t="array" ref="Q56">IFERROR(_xlfn.UNIQUE(_xlfn._xlws.FILTER(tbl_staff_list[RoleRef],tbl_staff_list[Role]=tbl_project_planner[[#This Row],[Role]],),,),"")</f>
        <v>RoleRef_11</v>
      </c>
      <c r="R56" s="82" t="b" cm="1">
        <f t="array" ref="R56">IFERROR(IF(ISNUMBER(MATCH(tbl_project_planner[[#This Row],[Assigned To]], _xlfn._xlws.FILTER(tbl_staff_list[Name], tbl_staff_list[Role] = tbl_project_planner[[#This Row],[Role]]), 0)), FALSE, TRUE), "No Staff Assigned")</f>
        <v>0</v>
      </c>
      <c r="T56" s="188"/>
      <c r="U56" s="11"/>
      <c r="V56" s="11"/>
      <c r="W56" s="163"/>
      <c r="X56"/>
      <c r="Y56"/>
    </row>
    <row r="57" spans="2:25" ht="16.5" thickBot="1" x14ac:dyDescent="0.3">
      <c r="B57" s="456" t="s">
        <v>245</v>
      </c>
      <c r="C57" s="433" t="s">
        <v>367</v>
      </c>
      <c r="D57" s="369" t="s">
        <v>5</v>
      </c>
      <c r="E57" s="370" cm="1">
        <f t="array" ref="E5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45761</v>
      </c>
      <c r="F57" s="380" cm="1">
        <f t="array" ref="F57">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45761</v>
      </c>
      <c r="G57" s="395">
        <v>5</v>
      </c>
      <c r="H57" s="395">
        <v>5</v>
      </c>
      <c r="I57" s="396" t="s">
        <v>12</v>
      </c>
      <c r="J57" s="395" t="s">
        <v>222</v>
      </c>
      <c r="K57" s="394"/>
      <c r="L57" s="394" t="s">
        <v>284</v>
      </c>
      <c r="M57" s="394" t="s">
        <v>113</v>
      </c>
      <c r="N57" s="378">
        <f>tbl_project_planner[[#This Row],[End Date]]-tbl_project_planner[[#This Row],[Start Date]]+1</f>
        <v>1</v>
      </c>
      <c r="O57" s="381">
        <f>COUNTIFS(tbl_staff_holidays[Date], "&gt;=" &amp; tbl_project_planner[[#This Row],[Start Date]], tbl_staff_holidays[Date], "&lt;=" &amp; tbl_project_planner[[#This Row],[End Date]], tbl_staff_holidays[Staff], tbl_project_planner[[#This Row],[Assigned To]])</f>
        <v>0</v>
      </c>
      <c r="P57" s="376">
        <f>IF(OR(tbl_project_planner[[#This Row],[End Date]]="",tbl_project_planner[[#This Row],[End Date]]="#N/A"),WEEKDAY(tbl_project_planner[[#This Row],[Start Date]],1),WEEKDAY(tbl_project_planner[[#This Row],[End Date]],1))</f>
        <v>2</v>
      </c>
      <c r="Q57" s="82" t="str" cm="1">
        <f t="array" ref="Q57">IFERROR(_xlfn.UNIQUE(_xlfn._xlws.FILTER(tbl_staff_list[RoleRef],tbl_staff_list[Role]=tbl_project_planner[[#This Row],[Role]],),,),"")</f>
        <v>RoleRef_6</v>
      </c>
      <c r="R57" s="82" t="b" cm="1">
        <f t="array" ref="R57">IFERROR(IF(ISNUMBER(MATCH(tbl_project_planner[[#This Row],[Assigned To]], _xlfn._xlws.FILTER(tbl_staff_list[Name], tbl_staff_list[Role] = tbl_project_planner[[#This Row],[Role]]), 0)), FALSE, TRUE), "No Staff Assigned")</f>
        <v>0</v>
      </c>
      <c r="T57" s="188"/>
      <c r="U57" s="11"/>
      <c r="V57" s="11"/>
      <c r="W57" s="163"/>
      <c r="X57"/>
      <c r="Y57"/>
    </row>
    <row r="58" spans="2:25" ht="16.5" thickTop="1" x14ac:dyDescent="0.25">
      <c r="B58" s="441"/>
      <c r="C58" s="431"/>
      <c r="D58" s="382" t="s">
        <v>90</v>
      </c>
      <c r="E58" s="383">
        <f>MAX(F53:F57)</f>
        <v>45777</v>
      </c>
      <c r="F58" s="397"/>
      <c r="G58" s="385">
        <f>SUMIF(I53:I57,"&lt;&gt;N/A",G53:G57)</f>
        <v>35</v>
      </c>
      <c r="H58" s="385">
        <f>SUMIF($I53:$I57,"&lt;&gt;N/A",H53:H57)</f>
        <v>35</v>
      </c>
      <c r="I58" s="398"/>
      <c r="J58" s="398"/>
      <c r="K58" s="399"/>
      <c r="L58" s="399"/>
      <c r="M58" s="399"/>
      <c r="N58" s="388">
        <f>SUM(N52:N57)</f>
        <v>58</v>
      </c>
      <c r="O58" s="400"/>
      <c r="P58" s="389">
        <f>IF(OR(tbl_project_planner[[#This Row],[End Date]]="",tbl_project_planner[[#This Row],[End Date]]="#N/A"),WEEKDAY(tbl_project_planner[[#This Row],[Start Date]],1),WEEKDAY(tbl_project_planner[[#This Row],[End Date]],1))</f>
        <v>4</v>
      </c>
      <c r="Q58" s="82" t="str" cm="1">
        <f t="array" ref="Q58">IFERROR(_xlfn.UNIQUE(_xlfn._xlws.FILTER(tbl_staff_list[RoleRef],tbl_staff_list[Role]=tbl_project_planner[[#This Row],[Role]],),,),"")</f>
        <v/>
      </c>
      <c r="T58" s="188"/>
      <c r="U58" s="11"/>
      <c r="V58" s="11"/>
      <c r="W58" s="163"/>
      <c r="X58"/>
      <c r="Y58"/>
    </row>
    <row r="59" spans="2:25" x14ac:dyDescent="0.25">
      <c r="B59" s="457" t="s">
        <v>246</v>
      </c>
      <c r="C59" s="434" t="s">
        <v>300</v>
      </c>
      <c r="D59" s="362" t="s">
        <v>30</v>
      </c>
      <c r="E59" s="363" cm="1">
        <f t="array" ref="E59">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45762</v>
      </c>
      <c r="F59" s="401"/>
      <c r="G59" s="365"/>
      <c r="H59" s="365"/>
      <c r="I59" s="365"/>
      <c r="J59" s="365" t="s">
        <v>245</v>
      </c>
      <c r="K59" s="366"/>
      <c r="L59" s="366"/>
      <c r="M59" s="366"/>
      <c r="N59" s="341"/>
      <c r="O59" s="341"/>
      <c r="P59" s="367">
        <f>IF(OR(tbl_project_planner[[#This Row],[End Date]]="",tbl_project_planner[[#This Row],[End Date]]="#N/A"),WEEKDAY(tbl_project_planner[[#This Row],[Start Date]],1),WEEKDAY(tbl_project_planner[[#This Row],[End Date]],1))</f>
        <v>3</v>
      </c>
      <c r="Q59" s="82" t="str" cm="1">
        <f t="array" ref="Q59">IFERROR(_xlfn.UNIQUE(_xlfn._xlws.FILTER(tbl_staff_list[RoleRef],tbl_staff_list[Role]=tbl_project_planner[[#This Row],[Role]],),,),"")</f>
        <v/>
      </c>
      <c r="T59" s="188"/>
      <c r="U59" s="11"/>
      <c r="V59" s="11"/>
      <c r="W59" s="163"/>
      <c r="X59"/>
      <c r="Y59"/>
    </row>
    <row r="60" spans="2:25" x14ac:dyDescent="0.25">
      <c r="B60" s="458" t="s">
        <v>247</v>
      </c>
      <c r="C60" s="18" t="s">
        <v>248</v>
      </c>
      <c r="D60" s="369" t="s">
        <v>1</v>
      </c>
      <c r="E60" s="370" cm="1">
        <f t="array" ref="E6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45762</v>
      </c>
      <c r="F60" s="371" cm="1">
        <f t="array" ref="F60">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45770</v>
      </c>
      <c r="G60" s="341">
        <v>5</v>
      </c>
      <c r="H60" s="341">
        <v>5</v>
      </c>
      <c r="I60" s="372">
        <v>0</v>
      </c>
      <c r="J60" s="341" t="s">
        <v>245</v>
      </c>
      <c r="K60" s="340"/>
      <c r="L60" s="340" t="s">
        <v>283</v>
      </c>
      <c r="M60" s="340" t="s">
        <v>109</v>
      </c>
      <c r="N60" s="374">
        <f>tbl_project_planner[[#This Row],[End Date]]-tbl_project_planner[[#This Row],[Start Date]]+1</f>
        <v>9</v>
      </c>
      <c r="O60" s="375">
        <f>COUNTIFS(tbl_staff_holidays[Date], "&gt;=" &amp; tbl_project_planner[[#This Row],[Start Date]], tbl_staff_holidays[Date], "&lt;=" &amp; tbl_project_planner[[#This Row],[End Date]], tbl_staff_holidays[Staff], tbl_project_planner[[#This Row],[Assigned To]])</f>
        <v>0</v>
      </c>
      <c r="P60" s="376">
        <f>IF(OR(tbl_project_planner[[#This Row],[End Date]]="",tbl_project_planner[[#This Row],[End Date]]="#N/A"),WEEKDAY(tbl_project_planner[[#This Row],[Start Date]],1),WEEKDAY(tbl_project_planner[[#This Row],[End Date]],1))</f>
        <v>4</v>
      </c>
      <c r="Q60" s="82" t="str" cm="1">
        <f t="array" ref="Q60">IFERROR(_xlfn.UNIQUE(_xlfn._xlws.FILTER(tbl_staff_list[RoleRef],tbl_staff_list[Role]=tbl_project_planner[[#This Row],[Role]],),,),"")</f>
        <v>RoleRef_5</v>
      </c>
      <c r="R60" s="82" t="b" cm="1">
        <f t="array" ref="R60">IFERROR(IF(ISNUMBER(MATCH(tbl_project_planner[[#This Row],[Assigned To]], _xlfn._xlws.FILTER(tbl_staff_list[Name], tbl_staff_list[Role] = tbl_project_planner[[#This Row],[Role]]), 0)), FALSE, TRUE), "No Staff Assigned")</f>
        <v>0</v>
      </c>
      <c r="T60" s="188"/>
      <c r="U60" s="11"/>
      <c r="V60" s="11"/>
      <c r="W60" s="163"/>
      <c r="X60"/>
      <c r="Y60"/>
    </row>
    <row r="61" spans="2:25" x14ac:dyDescent="0.25">
      <c r="B61" s="458" t="s">
        <v>249</v>
      </c>
      <c r="C61" s="18" t="s">
        <v>250</v>
      </c>
      <c r="D61" s="369" t="s">
        <v>2</v>
      </c>
      <c r="E61" s="370" cm="1">
        <f t="array" ref="E6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45762</v>
      </c>
      <c r="F61" s="377" cm="1">
        <f t="array" ref="F61">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45764</v>
      </c>
      <c r="G61" s="341">
        <v>3</v>
      </c>
      <c r="H61" s="341">
        <v>3</v>
      </c>
      <c r="I61" s="372">
        <v>0</v>
      </c>
      <c r="J61" s="341" t="s">
        <v>245</v>
      </c>
      <c r="K61" s="340"/>
      <c r="L61" s="340" t="s">
        <v>288</v>
      </c>
      <c r="M61" s="340" t="s">
        <v>111</v>
      </c>
      <c r="N61" s="378">
        <f>tbl_project_planner[[#This Row],[End Date]]-tbl_project_planner[[#This Row],[Start Date]]+1</f>
        <v>3</v>
      </c>
      <c r="O61" s="379">
        <f>COUNTIFS(tbl_staff_holidays[Date], "&gt;=" &amp; tbl_project_planner[[#This Row],[Start Date]], tbl_staff_holidays[Date], "&lt;=" &amp; tbl_project_planner[[#This Row],[End Date]], tbl_staff_holidays[Staff], tbl_project_planner[[#This Row],[Assigned To]])</f>
        <v>0</v>
      </c>
      <c r="P61" s="376">
        <f>IF(OR(tbl_project_planner[[#This Row],[End Date]]="",tbl_project_planner[[#This Row],[End Date]]="#N/A"),WEEKDAY(tbl_project_planner[[#This Row],[Start Date]],1),WEEKDAY(tbl_project_planner[[#This Row],[End Date]],1))</f>
        <v>5</v>
      </c>
      <c r="Q61" s="82" t="str" cm="1">
        <f t="array" ref="Q61">IFERROR(_xlfn.UNIQUE(_xlfn._xlws.FILTER(tbl_staff_list[RoleRef],tbl_staff_list[Role]=tbl_project_planner[[#This Row],[Role]],),,),"")</f>
        <v>RoleRef_9</v>
      </c>
      <c r="R61" s="82" t="b" cm="1">
        <f t="array" ref="R61">IFERROR(IF(ISNUMBER(MATCH(tbl_project_planner[[#This Row],[Assigned To]], _xlfn._xlws.FILTER(tbl_staff_list[Name], tbl_staff_list[Role] = tbl_project_planner[[#This Row],[Role]]), 0)), FALSE, TRUE), "No Staff Assigned")</f>
        <v>0</v>
      </c>
      <c r="T61" s="188"/>
      <c r="U61" s="11"/>
      <c r="V61" s="11"/>
      <c r="W61" s="163"/>
      <c r="X61"/>
      <c r="Y61"/>
    </row>
    <row r="62" spans="2:25" x14ac:dyDescent="0.25">
      <c r="B62" s="458" t="s">
        <v>251</v>
      </c>
      <c r="C62" s="18" t="s">
        <v>252</v>
      </c>
      <c r="D62" s="369" t="s">
        <v>3</v>
      </c>
      <c r="E62" s="370" cm="1">
        <f t="array" ref="E6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45762</v>
      </c>
      <c r="F62" s="377" cm="1">
        <f t="array" ref="F62">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45764</v>
      </c>
      <c r="G62" s="341">
        <v>3</v>
      </c>
      <c r="H62" s="341">
        <v>3</v>
      </c>
      <c r="I62" s="372">
        <v>0</v>
      </c>
      <c r="J62" s="341" t="s">
        <v>245</v>
      </c>
      <c r="K62" s="340"/>
      <c r="L62" s="340" t="s">
        <v>289</v>
      </c>
      <c r="M62" s="340" t="s">
        <v>108</v>
      </c>
      <c r="N62" s="378">
        <f>tbl_project_planner[[#This Row],[End Date]]-tbl_project_planner[[#This Row],[Start Date]]+1</f>
        <v>3</v>
      </c>
      <c r="O62" s="379">
        <f>COUNTIFS(tbl_staff_holidays[Date], "&gt;=" &amp; tbl_project_planner[[#This Row],[Start Date]], tbl_staff_holidays[Date], "&lt;=" &amp; tbl_project_planner[[#This Row],[End Date]], tbl_staff_holidays[Staff], tbl_project_planner[[#This Row],[Assigned To]])</f>
        <v>0</v>
      </c>
      <c r="P62" s="376">
        <f>IF(OR(tbl_project_planner[[#This Row],[End Date]]="",tbl_project_planner[[#This Row],[End Date]]="#N/A"),WEEKDAY(tbl_project_planner[[#This Row],[Start Date]],1),WEEKDAY(tbl_project_planner[[#This Row],[End Date]],1))</f>
        <v>5</v>
      </c>
      <c r="Q62" s="82" t="str" cm="1">
        <f t="array" ref="Q62">IFERROR(_xlfn.UNIQUE(_xlfn._xlws.FILTER(tbl_staff_list[RoleRef],tbl_staff_list[Role]=tbl_project_planner[[#This Row],[Role]],),,),"")</f>
        <v>RoleRef_10</v>
      </c>
      <c r="R62" s="82" t="b" cm="1">
        <f t="array" ref="R62">IFERROR(IF(ISNUMBER(MATCH(tbl_project_planner[[#This Row],[Assigned To]], _xlfn._xlws.FILTER(tbl_staff_list[Name], tbl_staff_list[Role] = tbl_project_planner[[#This Row],[Role]]), 0)), FALSE, TRUE), "No Staff Assigned")</f>
        <v>0</v>
      </c>
      <c r="T62" s="188"/>
      <c r="U62" s="11"/>
      <c r="V62" s="11"/>
      <c r="W62" s="163"/>
      <c r="X62"/>
      <c r="Y62"/>
    </row>
    <row r="63" spans="2:25" x14ac:dyDescent="0.25">
      <c r="B63" s="458" t="s">
        <v>253</v>
      </c>
      <c r="C63" s="18" t="s">
        <v>254</v>
      </c>
      <c r="D63" s="369" t="s">
        <v>4</v>
      </c>
      <c r="E63" s="370" cm="1">
        <f t="array" ref="E63">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45762</v>
      </c>
      <c r="F63" s="377" cm="1">
        <f t="array" ref="F63">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45764</v>
      </c>
      <c r="G63" s="341">
        <v>3</v>
      </c>
      <c r="H63" s="341">
        <v>3</v>
      </c>
      <c r="I63" s="372">
        <v>0</v>
      </c>
      <c r="J63" s="341" t="s">
        <v>245</v>
      </c>
      <c r="K63" s="340"/>
      <c r="L63" s="340" t="s">
        <v>282</v>
      </c>
      <c r="M63" s="340" t="s">
        <v>114</v>
      </c>
      <c r="N63" s="378">
        <f>tbl_project_planner[[#This Row],[End Date]]-tbl_project_planner[[#This Row],[Start Date]]+1</f>
        <v>3</v>
      </c>
      <c r="O63" s="379">
        <f>COUNTIFS(tbl_staff_holidays[Date], "&gt;=" &amp; tbl_project_planner[[#This Row],[Start Date]], tbl_staff_holidays[Date], "&lt;=" &amp; tbl_project_planner[[#This Row],[End Date]], tbl_staff_holidays[Staff], tbl_project_planner[[#This Row],[Assigned To]])</f>
        <v>0</v>
      </c>
      <c r="P63" s="376">
        <f>IF(OR(tbl_project_planner[[#This Row],[End Date]]="",tbl_project_planner[[#This Row],[End Date]]="#N/A"),WEEKDAY(tbl_project_planner[[#This Row],[Start Date]],1),WEEKDAY(tbl_project_planner[[#This Row],[End Date]],1))</f>
        <v>5</v>
      </c>
      <c r="Q63" s="82" t="str" cm="1">
        <f t="array" ref="Q63">IFERROR(_xlfn.UNIQUE(_xlfn._xlws.FILTER(tbl_staff_list[RoleRef],tbl_staff_list[Role]=tbl_project_planner[[#This Row],[Role]],),,),"")</f>
        <v>RoleRef_4</v>
      </c>
      <c r="R63" s="82" t="b" cm="1">
        <f t="array" ref="R63">IFERROR(IF(ISNUMBER(MATCH(tbl_project_planner[[#This Row],[Assigned To]], _xlfn._xlws.FILTER(tbl_staff_list[Name], tbl_staff_list[Role] = tbl_project_planner[[#This Row],[Role]]), 0)), FALSE, TRUE), "No Staff Assigned")</f>
        <v>0</v>
      </c>
      <c r="T63" s="188"/>
      <c r="U63" s="11"/>
      <c r="V63" s="11"/>
      <c r="W63" s="163"/>
      <c r="X63"/>
      <c r="Y63"/>
    </row>
    <row r="64" spans="2:25" ht="16.5" thickBot="1" x14ac:dyDescent="0.3">
      <c r="B64" s="458" t="s">
        <v>255</v>
      </c>
      <c r="C64" s="18" t="s">
        <v>256</v>
      </c>
      <c r="D64" s="369" t="s">
        <v>5</v>
      </c>
      <c r="E64" s="370" cm="1">
        <f t="array" ref="E64">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45762</v>
      </c>
      <c r="F64" s="380" cm="1">
        <f t="array" ref="F64">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45764</v>
      </c>
      <c r="G64" s="341">
        <v>3</v>
      </c>
      <c r="H64" s="341">
        <v>3</v>
      </c>
      <c r="I64" s="372">
        <v>0</v>
      </c>
      <c r="J64" s="341" t="s">
        <v>245</v>
      </c>
      <c r="K64" s="340"/>
      <c r="L64" s="340" t="s">
        <v>285</v>
      </c>
      <c r="M64" s="340" t="s">
        <v>115</v>
      </c>
      <c r="N64" s="378">
        <f>tbl_project_planner[[#This Row],[End Date]]-tbl_project_planner[[#This Row],[Start Date]]+1</f>
        <v>3</v>
      </c>
      <c r="O64" s="381">
        <f>COUNTIFS(tbl_staff_holidays[Date], "&gt;=" &amp; tbl_project_planner[[#This Row],[Start Date]], tbl_staff_holidays[Date], "&lt;=" &amp; tbl_project_planner[[#This Row],[End Date]], tbl_staff_holidays[Staff], tbl_project_planner[[#This Row],[Assigned To]])</f>
        <v>0</v>
      </c>
      <c r="P64" s="376">
        <f>IF(OR(tbl_project_planner[[#This Row],[End Date]]="",tbl_project_planner[[#This Row],[End Date]]="#N/A"),WEEKDAY(tbl_project_planner[[#This Row],[Start Date]],1),WEEKDAY(tbl_project_planner[[#This Row],[End Date]],1))</f>
        <v>5</v>
      </c>
      <c r="Q64" s="82" t="str" cm="1">
        <f t="array" ref="Q64">IFERROR(_xlfn.UNIQUE(_xlfn._xlws.FILTER(tbl_staff_list[RoleRef],tbl_staff_list[Role]=tbl_project_planner[[#This Row],[Role]],),,),"")</f>
        <v>RoleRef_7</v>
      </c>
      <c r="R64" s="82" t="b" cm="1">
        <f t="array" ref="R64">IFERROR(IF(ISNUMBER(MATCH(tbl_project_planner[[#This Row],[Assigned To]], _xlfn._xlws.FILTER(tbl_staff_list[Name], tbl_staff_list[Role] = tbl_project_planner[[#This Row],[Role]]), 0)), FALSE, TRUE), "No Staff Assigned")</f>
        <v>0</v>
      </c>
      <c r="T64" s="188"/>
      <c r="U64" s="11"/>
      <c r="V64" s="11"/>
      <c r="W64" s="163"/>
      <c r="X64"/>
      <c r="Y64"/>
    </row>
    <row r="65" spans="2:25" ht="16.5" thickTop="1" x14ac:dyDescent="0.25">
      <c r="B65" s="441"/>
      <c r="C65" s="431"/>
      <c r="D65" s="382" t="s">
        <v>90</v>
      </c>
      <c r="E65" s="383">
        <f>MAX(F60:F64)</f>
        <v>45770</v>
      </c>
      <c r="F65" s="384"/>
      <c r="G65" s="385">
        <f>SUMIF(I60:I64,"&lt;&gt;N/A",G60:G64)</f>
        <v>17</v>
      </c>
      <c r="H65" s="385">
        <f>SUMIF($I60:$I64,"&lt;&gt;N/A",H60:H64)</f>
        <v>17</v>
      </c>
      <c r="I65" s="386"/>
      <c r="J65" s="386"/>
      <c r="K65" s="387"/>
      <c r="L65" s="387"/>
      <c r="M65" s="387"/>
      <c r="N65" s="388">
        <f>SUM(N59:N64)</f>
        <v>21</v>
      </c>
      <c r="O65" s="386"/>
      <c r="P65" s="389">
        <f>IF(OR(tbl_project_planner[[#This Row],[End Date]]="",tbl_project_planner[[#This Row],[End Date]]="#N/A"),WEEKDAY(tbl_project_planner[[#This Row],[Start Date]],1),WEEKDAY(tbl_project_planner[[#This Row],[End Date]],1))</f>
        <v>4</v>
      </c>
      <c r="Q65" s="82" t="str" cm="1">
        <f t="array" ref="Q65">IFERROR(_xlfn.UNIQUE(_xlfn._xlws.FILTER(tbl_staff_list[RoleRef],tbl_staff_list[Role]=tbl_project_planner[[#This Row],[Role]],),,),"")</f>
        <v/>
      </c>
      <c r="T65" s="188"/>
      <c r="U65" s="11"/>
      <c r="V65" s="11"/>
      <c r="W65" s="163"/>
      <c r="X65"/>
      <c r="Y65"/>
    </row>
    <row r="66" spans="2:25" x14ac:dyDescent="0.25">
      <c r="B66" s="459" t="s">
        <v>257</v>
      </c>
      <c r="C66" s="435" t="s">
        <v>301</v>
      </c>
      <c r="D66" s="403" t="s">
        <v>30</v>
      </c>
      <c r="E66" s="363" cm="1">
        <f t="array" ref="E66">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45769</v>
      </c>
      <c r="F66" s="390"/>
      <c r="G66" s="395"/>
      <c r="H66" s="395"/>
      <c r="I66" s="395"/>
      <c r="J66" s="395" t="s">
        <v>255</v>
      </c>
      <c r="K66" s="394"/>
      <c r="L66" s="392"/>
      <c r="M66" s="392"/>
      <c r="N66" s="393"/>
      <c r="O66" s="393"/>
      <c r="P66" s="367">
        <f>IF(OR(tbl_project_planner[[#This Row],[End Date]]="",tbl_project_planner[[#This Row],[End Date]]="#N/A"),WEEKDAY(tbl_project_planner[[#This Row],[Start Date]],1),WEEKDAY(tbl_project_planner[[#This Row],[End Date]],1))</f>
        <v>3</v>
      </c>
      <c r="Q66" s="82" t="str" cm="1">
        <f t="array" ref="Q66">IFERROR(_xlfn.UNIQUE(_xlfn._xlws.FILTER(tbl_staff_list[RoleRef],tbl_staff_list[Role]=tbl_project_planner[[#This Row],[Role]],),,),"")</f>
        <v/>
      </c>
      <c r="T66" s="188"/>
      <c r="U66" s="11"/>
      <c r="V66" s="11"/>
      <c r="W66" s="163"/>
      <c r="X66"/>
      <c r="Y66"/>
    </row>
    <row r="67" spans="2:25" x14ac:dyDescent="0.25">
      <c r="B67" s="460" t="s">
        <v>258</v>
      </c>
      <c r="C67" s="433" t="s">
        <v>259</v>
      </c>
      <c r="D67" s="369" t="s">
        <v>1</v>
      </c>
      <c r="E67" s="370" cm="1">
        <f t="array" ref="E6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45769</v>
      </c>
      <c r="F67" s="371" cm="1">
        <f t="array" ref="F67">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45771</v>
      </c>
      <c r="G67" s="395">
        <v>3</v>
      </c>
      <c r="H67" s="395">
        <v>3</v>
      </c>
      <c r="I67" s="396">
        <v>0</v>
      </c>
      <c r="J67" s="395" t="s">
        <v>255</v>
      </c>
      <c r="K67" s="394"/>
      <c r="L67" s="394" t="s">
        <v>283</v>
      </c>
      <c r="M67" s="394" t="s">
        <v>109</v>
      </c>
      <c r="N67" s="374">
        <f>tbl_project_planner[[#This Row],[End Date]]-tbl_project_planner[[#This Row],[Start Date]]+1</f>
        <v>3</v>
      </c>
      <c r="O67" s="375">
        <f>COUNTIFS(tbl_staff_holidays[Date], "&gt;=" &amp; tbl_project_planner[[#This Row],[Start Date]], tbl_staff_holidays[Date], "&lt;=" &amp; tbl_project_planner[[#This Row],[End Date]], tbl_staff_holidays[Staff], tbl_project_planner[[#This Row],[Assigned To]])</f>
        <v>0</v>
      </c>
      <c r="P67" s="376">
        <f>IF(OR(tbl_project_planner[[#This Row],[End Date]]="",tbl_project_planner[[#This Row],[End Date]]="#N/A"),WEEKDAY(tbl_project_planner[[#This Row],[Start Date]],1),WEEKDAY(tbl_project_planner[[#This Row],[End Date]],1))</f>
        <v>5</v>
      </c>
      <c r="Q67" s="82" t="str" cm="1">
        <f t="array" ref="Q67">IFERROR(_xlfn.UNIQUE(_xlfn._xlws.FILTER(tbl_staff_list[RoleRef],tbl_staff_list[Role]=tbl_project_planner[[#This Row],[Role]],),,),"")</f>
        <v>RoleRef_5</v>
      </c>
      <c r="R67" s="82" t="b" cm="1">
        <f t="array" ref="R67">IFERROR(IF(ISNUMBER(MATCH(tbl_project_planner[[#This Row],[Assigned To]], _xlfn._xlws.FILTER(tbl_staff_list[Name], tbl_staff_list[Role] = tbl_project_planner[[#This Row],[Role]]), 0)), FALSE, TRUE), "No Staff Assigned")</f>
        <v>0</v>
      </c>
      <c r="T67" s="188"/>
      <c r="U67" s="11"/>
      <c r="V67" s="11"/>
      <c r="W67" s="163"/>
      <c r="X67"/>
      <c r="Y67"/>
    </row>
    <row r="68" spans="2:25" x14ac:dyDescent="0.25">
      <c r="B68" s="460" t="s">
        <v>260</v>
      </c>
      <c r="C68" s="433" t="s">
        <v>261</v>
      </c>
      <c r="D68" s="369" t="s">
        <v>2</v>
      </c>
      <c r="E68" s="370" cm="1">
        <f t="array" ref="E6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45769</v>
      </c>
      <c r="F68" s="377" cm="1">
        <f t="array" ref="F68">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45769</v>
      </c>
      <c r="G68" s="395">
        <v>1</v>
      </c>
      <c r="H68" s="395">
        <v>1</v>
      </c>
      <c r="I68" s="396">
        <v>0</v>
      </c>
      <c r="J68" s="395" t="s">
        <v>255</v>
      </c>
      <c r="K68" s="394"/>
      <c r="L68" s="394" t="s">
        <v>288</v>
      </c>
      <c r="M68" s="394" t="s">
        <v>111</v>
      </c>
      <c r="N68" s="378">
        <f>tbl_project_planner[[#This Row],[End Date]]-tbl_project_planner[[#This Row],[Start Date]]+1</f>
        <v>1</v>
      </c>
      <c r="O68" s="379">
        <f>COUNTIFS(tbl_staff_holidays[Date], "&gt;=" &amp; tbl_project_planner[[#This Row],[Start Date]], tbl_staff_holidays[Date], "&lt;=" &amp; tbl_project_planner[[#This Row],[End Date]], tbl_staff_holidays[Staff], tbl_project_planner[[#This Row],[Assigned To]])</f>
        <v>0</v>
      </c>
      <c r="P68" s="376">
        <f>IF(OR(tbl_project_planner[[#This Row],[End Date]]="",tbl_project_planner[[#This Row],[End Date]]="#N/A"),WEEKDAY(tbl_project_planner[[#This Row],[Start Date]],1),WEEKDAY(tbl_project_planner[[#This Row],[End Date]],1))</f>
        <v>3</v>
      </c>
      <c r="Q68" s="82" t="str" cm="1">
        <f t="array" ref="Q68">IFERROR(_xlfn.UNIQUE(_xlfn._xlws.FILTER(tbl_staff_list[RoleRef],tbl_staff_list[Role]=tbl_project_planner[[#This Row],[Role]],),,),"")</f>
        <v>RoleRef_9</v>
      </c>
      <c r="R68" s="82" t="b" cm="1">
        <f t="array" ref="R68">IFERROR(IF(ISNUMBER(MATCH(tbl_project_planner[[#This Row],[Assigned To]], _xlfn._xlws.FILTER(tbl_staff_list[Name], tbl_staff_list[Role] = tbl_project_planner[[#This Row],[Role]]), 0)), FALSE, TRUE), "No Staff Assigned")</f>
        <v>0</v>
      </c>
      <c r="T68" s="188"/>
      <c r="U68" s="11"/>
      <c r="V68" s="11"/>
      <c r="W68" s="163"/>
      <c r="X68"/>
      <c r="Y68"/>
    </row>
    <row r="69" spans="2:25" x14ac:dyDescent="0.25">
      <c r="B69" s="460" t="s">
        <v>262</v>
      </c>
      <c r="C69" s="433" t="s">
        <v>263</v>
      </c>
      <c r="D69" s="369" t="s">
        <v>3</v>
      </c>
      <c r="E69" s="370" cm="1">
        <f t="array" ref="E69">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45769</v>
      </c>
      <c r="F69" s="377" cm="1">
        <f t="array" ref="F69">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45769</v>
      </c>
      <c r="G69" s="395">
        <v>1</v>
      </c>
      <c r="H69" s="395">
        <v>1</v>
      </c>
      <c r="I69" s="396">
        <v>0</v>
      </c>
      <c r="J69" s="395" t="s">
        <v>255</v>
      </c>
      <c r="K69" s="394"/>
      <c r="L69" s="394" t="s">
        <v>289</v>
      </c>
      <c r="M69" s="394" t="s">
        <v>108</v>
      </c>
      <c r="N69" s="378">
        <f>tbl_project_planner[[#This Row],[End Date]]-tbl_project_planner[[#This Row],[Start Date]]+1</f>
        <v>1</v>
      </c>
      <c r="O69" s="379">
        <f>COUNTIFS(tbl_staff_holidays[Date], "&gt;=" &amp; tbl_project_planner[[#This Row],[Start Date]], tbl_staff_holidays[Date], "&lt;=" &amp; tbl_project_planner[[#This Row],[End Date]], tbl_staff_holidays[Staff], tbl_project_planner[[#This Row],[Assigned To]])</f>
        <v>0</v>
      </c>
      <c r="P69" s="376">
        <f>IF(OR(tbl_project_planner[[#This Row],[End Date]]="",tbl_project_planner[[#This Row],[End Date]]="#N/A"),WEEKDAY(tbl_project_planner[[#This Row],[Start Date]],1),WEEKDAY(tbl_project_planner[[#This Row],[End Date]],1))</f>
        <v>3</v>
      </c>
      <c r="Q69" s="82" t="str" cm="1">
        <f t="array" ref="Q69">IFERROR(_xlfn.UNIQUE(_xlfn._xlws.FILTER(tbl_staff_list[RoleRef],tbl_staff_list[Role]=tbl_project_planner[[#This Row],[Role]],),,),"")</f>
        <v>RoleRef_10</v>
      </c>
      <c r="R69" s="82" t="b" cm="1">
        <f t="array" ref="R69">IFERROR(IF(ISNUMBER(MATCH(tbl_project_planner[[#This Row],[Assigned To]], _xlfn._xlws.FILTER(tbl_staff_list[Name], tbl_staff_list[Role] = tbl_project_planner[[#This Row],[Role]]), 0)), FALSE, TRUE), "No Staff Assigned")</f>
        <v>0</v>
      </c>
      <c r="T69" s="188"/>
      <c r="U69" s="11"/>
      <c r="V69" s="11"/>
      <c r="W69" s="163"/>
      <c r="X69"/>
      <c r="Y69"/>
    </row>
    <row r="70" spans="2:25" x14ac:dyDescent="0.25">
      <c r="B70" s="460" t="s">
        <v>264</v>
      </c>
      <c r="C70" s="433" t="s">
        <v>265</v>
      </c>
      <c r="D70" s="369" t="s">
        <v>4</v>
      </c>
      <c r="E70" s="370" cm="1">
        <f t="array" ref="E7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45769</v>
      </c>
      <c r="F70" s="377" cm="1">
        <f t="array" ref="F70">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45769</v>
      </c>
      <c r="G70" s="395">
        <v>1</v>
      </c>
      <c r="H70" s="395">
        <v>1</v>
      </c>
      <c r="I70" s="396">
        <v>0</v>
      </c>
      <c r="J70" s="395" t="s">
        <v>255</v>
      </c>
      <c r="K70" s="394"/>
      <c r="L70" s="394" t="s">
        <v>280</v>
      </c>
      <c r="M70" s="394" t="s">
        <v>107</v>
      </c>
      <c r="N70" s="378">
        <f>tbl_project_planner[[#This Row],[End Date]]-tbl_project_planner[[#This Row],[Start Date]]+1</f>
        <v>1</v>
      </c>
      <c r="O70" s="379">
        <f>COUNTIFS(tbl_staff_holidays[Date], "&gt;=" &amp; tbl_project_planner[[#This Row],[Start Date]], tbl_staff_holidays[Date], "&lt;=" &amp; tbl_project_planner[[#This Row],[End Date]], tbl_staff_holidays[Staff], tbl_project_planner[[#This Row],[Assigned To]])</f>
        <v>0</v>
      </c>
      <c r="P70" s="376">
        <f>IF(OR(tbl_project_planner[[#This Row],[End Date]]="",tbl_project_planner[[#This Row],[End Date]]="#N/A"),WEEKDAY(tbl_project_planner[[#This Row],[Start Date]],1),WEEKDAY(tbl_project_planner[[#This Row],[End Date]],1))</f>
        <v>3</v>
      </c>
      <c r="Q70" s="82" t="str" cm="1">
        <f t="array" ref="Q70">IFERROR(_xlfn.UNIQUE(_xlfn._xlws.FILTER(tbl_staff_list[RoleRef],tbl_staff_list[Role]=tbl_project_planner[[#This Row],[Role]],),,),"")</f>
        <v>RoleRef_2</v>
      </c>
      <c r="R70" s="82" t="b" cm="1">
        <f t="array" ref="R70">IFERROR(IF(ISNUMBER(MATCH(tbl_project_planner[[#This Row],[Assigned To]], _xlfn._xlws.FILTER(tbl_staff_list[Name], tbl_staff_list[Role] = tbl_project_planner[[#This Row],[Role]]), 0)), FALSE, TRUE), "No Staff Assigned")</f>
        <v>0</v>
      </c>
      <c r="T70" s="188"/>
      <c r="U70" s="11"/>
      <c r="V70" s="11"/>
      <c r="W70" s="163"/>
      <c r="X70"/>
      <c r="Y70"/>
    </row>
    <row r="71" spans="2:25" ht="16.5" thickBot="1" x14ac:dyDescent="0.3">
      <c r="B71" s="460" t="s">
        <v>266</v>
      </c>
      <c r="C71" s="433" t="s">
        <v>267</v>
      </c>
      <c r="D71" s="369" t="s">
        <v>5</v>
      </c>
      <c r="E71" s="370" cm="1">
        <f t="array" ref="E7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45769</v>
      </c>
      <c r="F71" s="380" cm="1">
        <f t="array" ref="F71">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45770</v>
      </c>
      <c r="G71" s="395">
        <v>2</v>
      </c>
      <c r="H71" s="395">
        <v>2</v>
      </c>
      <c r="I71" s="396">
        <v>0</v>
      </c>
      <c r="J71" s="395" t="s">
        <v>255</v>
      </c>
      <c r="K71" s="394"/>
      <c r="L71" s="394" t="s">
        <v>285</v>
      </c>
      <c r="M71" s="394" t="s">
        <v>115</v>
      </c>
      <c r="N71" s="378">
        <f>tbl_project_planner[[#This Row],[End Date]]-tbl_project_planner[[#This Row],[Start Date]]+1</f>
        <v>2</v>
      </c>
      <c r="O71" s="381">
        <f>COUNTIFS(tbl_staff_holidays[Date], "&gt;=" &amp; tbl_project_planner[[#This Row],[Start Date]], tbl_staff_holidays[Date], "&lt;=" &amp; tbl_project_planner[[#This Row],[End Date]], tbl_staff_holidays[Staff], tbl_project_planner[[#This Row],[Assigned To]])</f>
        <v>0</v>
      </c>
      <c r="P71" s="376">
        <f>IF(OR(tbl_project_planner[[#This Row],[End Date]]="",tbl_project_planner[[#This Row],[End Date]]="#N/A"),WEEKDAY(tbl_project_planner[[#This Row],[Start Date]],1),WEEKDAY(tbl_project_planner[[#This Row],[End Date]],1))</f>
        <v>4</v>
      </c>
      <c r="Q71" s="82" t="str" cm="1">
        <f t="array" ref="Q71">IFERROR(_xlfn.UNIQUE(_xlfn._xlws.FILTER(tbl_staff_list[RoleRef],tbl_staff_list[Role]=tbl_project_planner[[#This Row],[Role]],),,),"")</f>
        <v>RoleRef_7</v>
      </c>
      <c r="R71" s="82" t="b" cm="1">
        <f t="array" ref="R71">IFERROR(IF(ISNUMBER(MATCH(tbl_project_planner[[#This Row],[Assigned To]], _xlfn._xlws.FILTER(tbl_staff_list[Name], tbl_staff_list[Role] = tbl_project_planner[[#This Row],[Role]]), 0)), FALSE, TRUE), "No Staff Assigned")</f>
        <v>0</v>
      </c>
      <c r="T71" s="188"/>
      <c r="U71" s="11"/>
      <c r="V71" s="11"/>
      <c r="W71" s="163"/>
      <c r="X71"/>
      <c r="Y71"/>
    </row>
    <row r="72" spans="2:25" ht="16.5" thickTop="1" x14ac:dyDescent="0.25">
      <c r="B72" s="441"/>
      <c r="C72" s="431"/>
      <c r="D72" s="382" t="s">
        <v>90</v>
      </c>
      <c r="E72" s="383">
        <f>MAX(F67:F71)</f>
        <v>45771</v>
      </c>
      <c r="F72" s="397"/>
      <c r="G72" s="385">
        <f>SUMIF(I67:I71,"&lt;&gt;N/A",G67:G71)</f>
        <v>8</v>
      </c>
      <c r="H72" s="385">
        <f>SUMIF($I67:$I71,"&lt;&gt;N/A",H67:H71)</f>
        <v>8</v>
      </c>
      <c r="I72" s="398"/>
      <c r="J72" s="398"/>
      <c r="K72" s="399"/>
      <c r="L72" s="399"/>
      <c r="M72" s="399"/>
      <c r="N72" s="388">
        <f>SUM(N66:N71)</f>
        <v>8</v>
      </c>
      <c r="O72" s="400"/>
      <c r="P72" s="389">
        <f>IF(OR(tbl_project_planner[[#This Row],[End Date]]="",tbl_project_planner[[#This Row],[End Date]]="#N/A"),WEEKDAY(tbl_project_planner[[#This Row],[Start Date]],1),WEEKDAY(tbl_project_planner[[#This Row],[End Date]],1))</f>
        <v>5</v>
      </c>
      <c r="Q72" s="82" t="str" cm="1">
        <f t="array" ref="Q72">IFERROR(_xlfn.UNIQUE(_xlfn._xlws.FILTER(tbl_staff_list[RoleRef],tbl_staff_list[Role]=tbl_project_planner[[#This Row],[Role]],),,),"")</f>
        <v/>
      </c>
      <c r="T72" s="188"/>
      <c r="U72" s="11"/>
      <c r="V72" s="11"/>
      <c r="W72" s="163"/>
      <c r="X72"/>
      <c r="Y72"/>
    </row>
    <row r="73" spans="2:25" x14ac:dyDescent="0.25">
      <c r="B73" s="461" t="s">
        <v>268</v>
      </c>
      <c r="C73" s="434" t="s">
        <v>269</v>
      </c>
      <c r="D73" s="362" t="s">
        <v>30</v>
      </c>
      <c r="E73" s="363" cm="1">
        <f t="array" ref="E73">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45769</v>
      </c>
      <c r="F73" s="401"/>
      <c r="G73" s="365"/>
      <c r="H73" s="365"/>
      <c r="I73" s="365"/>
      <c r="J73" s="341" t="s">
        <v>255</v>
      </c>
      <c r="K73" s="366"/>
      <c r="L73" s="366"/>
      <c r="M73" s="366"/>
      <c r="N73" s="341"/>
      <c r="O73" s="341"/>
      <c r="P73" s="367">
        <f>IF(OR(tbl_project_planner[[#This Row],[End Date]]="",tbl_project_planner[[#This Row],[End Date]]="#N/A"),WEEKDAY(tbl_project_planner[[#This Row],[Start Date]],1),WEEKDAY(tbl_project_planner[[#This Row],[End Date]],1))</f>
        <v>3</v>
      </c>
      <c r="Q73" s="82" t="str" cm="1">
        <f t="array" ref="Q73">IFERROR(_xlfn.UNIQUE(_xlfn._xlws.FILTER(tbl_staff_list[RoleRef],tbl_staff_list[Role]=tbl_project_planner[[#This Row],[Role]],),,),"")</f>
        <v/>
      </c>
      <c r="T73" s="188"/>
      <c r="U73" s="11"/>
      <c r="V73" s="11"/>
      <c r="W73" s="163"/>
      <c r="X73"/>
      <c r="Y73"/>
    </row>
    <row r="74" spans="2:25" x14ac:dyDescent="0.25">
      <c r="B74" s="462" t="s">
        <v>270</v>
      </c>
      <c r="C74" s="18" t="s">
        <v>271</v>
      </c>
      <c r="D74" s="369" t="s">
        <v>1</v>
      </c>
      <c r="E74" s="370" cm="1">
        <f t="array" ref="E74">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45769</v>
      </c>
      <c r="F74" s="371" cm="1">
        <f t="array" ref="F74">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45775</v>
      </c>
      <c r="G74" s="341">
        <v>5</v>
      </c>
      <c r="H74" s="341">
        <v>5</v>
      </c>
      <c r="I74" s="372">
        <v>0</v>
      </c>
      <c r="J74" s="341" t="s">
        <v>255</v>
      </c>
      <c r="K74" s="340"/>
      <c r="L74" s="340" t="s">
        <v>99</v>
      </c>
      <c r="M74" s="340" t="s">
        <v>316</v>
      </c>
      <c r="N74" s="374">
        <f>tbl_project_planner[[#This Row],[End Date]]-tbl_project_planner[[#This Row],[Start Date]]+1</f>
        <v>7</v>
      </c>
      <c r="O74" s="375">
        <f>COUNTIFS(tbl_staff_holidays[Date], "&gt;=" &amp; tbl_project_planner[[#This Row],[Start Date]], tbl_staff_holidays[Date], "&lt;=" &amp; tbl_project_planner[[#This Row],[End Date]], tbl_staff_holidays[Staff], tbl_project_planner[[#This Row],[Assigned To]])</f>
        <v>0</v>
      </c>
      <c r="P74" s="376">
        <f>IF(OR(tbl_project_planner[[#This Row],[End Date]]="",tbl_project_planner[[#This Row],[End Date]]="#N/A"),WEEKDAY(tbl_project_planner[[#This Row],[Start Date]],1),WEEKDAY(tbl_project_planner[[#This Row],[End Date]],1))</f>
        <v>2</v>
      </c>
      <c r="Q74" s="82" t="str" cm="1">
        <f t="array" ref="Q74">IFERROR(_xlfn.UNIQUE(_xlfn._xlws.FILTER(tbl_staff_list[RoleRef],tbl_staff_list[Role]=tbl_project_planner[[#This Row],[Role]],),,),"")</f>
        <v>RoleRef_1</v>
      </c>
      <c r="R74" s="82" t="b" cm="1">
        <f t="array" ref="R74">IFERROR(IF(ISNUMBER(MATCH(tbl_project_planner[[#This Row],[Assigned To]], _xlfn._xlws.FILTER(tbl_staff_list[Name], tbl_staff_list[Role] = tbl_project_planner[[#This Row],[Role]]), 0)), FALSE, TRUE), "No Staff Assigned")</f>
        <v>0</v>
      </c>
      <c r="T74" s="188"/>
      <c r="U74" s="11"/>
      <c r="V74" s="11"/>
      <c r="W74" s="163"/>
      <c r="X74"/>
      <c r="Y74"/>
    </row>
    <row r="75" spans="2:25" x14ac:dyDescent="0.25">
      <c r="B75" s="462" t="s">
        <v>272</v>
      </c>
      <c r="C75" s="18" t="s">
        <v>273</v>
      </c>
      <c r="D75" s="369" t="s">
        <v>2</v>
      </c>
      <c r="E75" s="370" cm="1">
        <f t="array" ref="E75">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45771</v>
      </c>
      <c r="F75" s="377" cm="1">
        <f t="array" ref="F75">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45777</v>
      </c>
      <c r="G75" s="341">
        <v>5</v>
      </c>
      <c r="H75" s="341">
        <v>5</v>
      </c>
      <c r="I75" s="372">
        <v>0</v>
      </c>
      <c r="J75" s="341" t="s">
        <v>266</v>
      </c>
      <c r="K75" s="340"/>
      <c r="L75" s="340" t="s">
        <v>288</v>
      </c>
      <c r="M75" s="340" t="s">
        <v>111</v>
      </c>
      <c r="N75" s="378">
        <f>tbl_project_planner[[#This Row],[End Date]]-tbl_project_planner[[#This Row],[Start Date]]+1</f>
        <v>7</v>
      </c>
      <c r="O75" s="379">
        <f>COUNTIFS(tbl_staff_holidays[Date], "&gt;=" &amp; tbl_project_planner[[#This Row],[Start Date]], tbl_staff_holidays[Date], "&lt;=" &amp; tbl_project_planner[[#This Row],[End Date]], tbl_staff_holidays[Staff], tbl_project_planner[[#This Row],[Assigned To]])</f>
        <v>0</v>
      </c>
      <c r="P75" s="376">
        <f>IF(OR(tbl_project_planner[[#This Row],[End Date]]="",tbl_project_planner[[#This Row],[End Date]]="#N/A"),WEEKDAY(tbl_project_planner[[#This Row],[Start Date]],1),WEEKDAY(tbl_project_planner[[#This Row],[End Date]],1))</f>
        <v>4</v>
      </c>
      <c r="Q75" s="82" t="str" cm="1">
        <f t="array" ref="Q75">IFERROR(_xlfn.UNIQUE(_xlfn._xlws.FILTER(tbl_staff_list[RoleRef],tbl_staff_list[Role]=tbl_project_planner[[#This Row],[Role]],),,),"")</f>
        <v>RoleRef_9</v>
      </c>
      <c r="R75" s="82" t="b" cm="1">
        <f t="array" ref="R75">IFERROR(IF(ISNUMBER(MATCH(tbl_project_planner[[#This Row],[Assigned To]], _xlfn._xlws.FILTER(tbl_staff_list[Name], tbl_staff_list[Role] = tbl_project_planner[[#This Row],[Role]]), 0)), FALSE, TRUE), "No Staff Assigned")</f>
        <v>0</v>
      </c>
      <c r="T75" s="188"/>
      <c r="U75" s="11"/>
      <c r="V75" s="11"/>
      <c r="W75" s="163"/>
      <c r="X75"/>
      <c r="Y75"/>
    </row>
    <row r="76" spans="2:25" x14ac:dyDescent="0.25">
      <c r="B76" s="462" t="s">
        <v>274</v>
      </c>
      <c r="C76" s="18" t="s">
        <v>275</v>
      </c>
      <c r="D76" s="369" t="s">
        <v>3</v>
      </c>
      <c r="E76" s="370" cm="1">
        <f t="array" ref="E76">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45771</v>
      </c>
      <c r="F76" s="377" cm="1">
        <f t="array" ref="F76">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45777</v>
      </c>
      <c r="G76" s="341">
        <v>5</v>
      </c>
      <c r="H76" s="341">
        <v>5</v>
      </c>
      <c r="I76" s="372">
        <v>0</v>
      </c>
      <c r="J76" s="341" t="s">
        <v>266</v>
      </c>
      <c r="K76" s="340"/>
      <c r="L76" s="340" t="s">
        <v>289</v>
      </c>
      <c r="M76" s="340" t="s">
        <v>108</v>
      </c>
      <c r="N76" s="378">
        <f>tbl_project_planner[[#This Row],[End Date]]-tbl_project_planner[[#This Row],[Start Date]]+1</f>
        <v>7</v>
      </c>
      <c r="O76" s="379">
        <f>COUNTIFS(tbl_staff_holidays[Date], "&gt;=" &amp; tbl_project_planner[[#This Row],[Start Date]], tbl_staff_holidays[Date], "&lt;=" &amp; tbl_project_planner[[#This Row],[End Date]], tbl_staff_holidays[Staff], tbl_project_planner[[#This Row],[Assigned To]])</f>
        <v>0</v>
      </c>
      <c r="P76" s="376">
        <f>IF(OR(tbl_project_planner[[#This Row],[End Date]]="",tbl_project_planner[[#This Row],[End Date]]="#N/A"),WEEKDAY(tbl_project_planner[[#This Row],[Start Date]],1),WEEKDAY(tbl_project_planner[[#This Row],[End Date]],1))</f>
        <v>4</v>
      </c>
      <c r="Q76" s="82" t="str" cm="1">
        <f t="array" ref="Q76">IFERROR(_xlfn.UNIQUE(_xlfn._xlws.FILTER(tbl_staff_list[RoleRef],tbl_staff_list[Role]=tbl_project_planner[[#This Row],[Role]],),,),"")</f>
        <v>RoleRef_10</v>
      </c>
      <c r="R76" s="82" t="b" cm="1">
        <f t="array" ref="R76">IFERROR(IF(ISNUMBER(MATCH(tbl_project_planner[[#This Row],[Assigned To]], _xlfn._xlws.FILTER(tbl_staff_list[Name], tbl_staff_list[Role] = tbl_project_planner[[#This Row],[Role]]), 0)), FALSE, TRUE), "No Staff Assigned")</f>
        <v>0</v>
      </c>
      <c r="T76" s="188"/>
      <c r="U76" s="11"/>
      <c r="V76" s="11"/>
      <c r="W76" s="163"/>
      <c r="X76"/>
      <c r="Y76"/>
    </row>
    <row r="77" spans="2:25" x14ac:dyDescent="0.25">
      <c r="B77" s="462" t="s">
        <v>276</v>
      </c>
      <c r="C77" s="18" t="s">
        <v>277</v>
      </c>
      <c r="D77" s="369" t="s">
        <v>4</v>
      </c>
      <c r="E77" s="370" cm="1">
        <f t="array" ref="E7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45778</v>
      </c>
      <c r="F77" s="377" cm="1">
        <f t="array" ref="F77">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45785</v>
      </c>
      <c r="G77" s="341">
        <v>5</v>
      </c>
      <c r="H77" s="341">
        <v>5</v>
      </c>
      <c r="I77" s="372">
        <v>0</v>
      </c>
      <c r="J77" s="341" t="s">
        <v>274</v>
      </c>
      <c r="K77" s="340"/>
      <c r="L77" s="340" t="s">
        <v>286</v>
      </c>
      <c r="M77" s="340" t="s">
        <v>105</v>
      </c>
      <c r="N77" s="378">
        <f>tbl_project_planner[[#This Row],[End Date]]-tbl_project_planner[[#This Row],[Start Date]]+1</f>
        <v>8</v>
      </c>
      <c r="O77" s="379">
        <f>COUNTIFS(tbl_staff_holidays[Date], "&gt;=" &amp; tbl_project_planner[[#This Row],[Start Date]], tbl_staff_holidays[Date], "&lt;=" &amp; tbl_project_planner[[#This Row],[End Date]], tbl_staff_holidays[Staff], tbl_project_planner[[#This Row],[Assigned To]])</f>
        <v>0</v>
      </c>
      <c r="P77" s="376">
        <f>IF(OR(tbl_project_planner[[#This Row],[End Date]]="",tbl_project_planner[[#This Row],[End Date]]="#N/A"),WEEKDAY(tbl_project_planner[[#This Row],[Start Date]],1),WEEKDAY(tbl_project_planner[[#This Row],[End Date]],1))</f>
        <v>5</v>
      </c>
      <c r="Q77" s="82" t="str" cm="1">
        <f t="array" ref="Q77">IFERROR(_xlfn.UNIQUE(_xlfn._xlws.FILTER(tbl_staff_list[RoleRef],tbl_staff_list[Role]=tbl_project_planner[[#This Row],[Role]],),,),"")</f>
        <v>RoleRef_8</v>
      </c>
      <c r="R77" s="82" t="b" cm="1">
        <f t="array" ref="R77">IFERROR(IF(ISNUMBER(MATCH(tbl_project_planner[[#This Row],[Assigned To]], _xlfn._xlws.FILTER(tbl_staff_list[Name], tbl_staff_list[Role] = tbl_project_planner[[#This Row],[Role]]), 0)), FALSE, TRUE), "No Staff Assigned")</f>
        <v>0</v>
      </c>
      <c r="T77" s="188"/>
      <c r="U77" s="11"/>
      <c r="V77" s="11"/>
      <c r="W77" s="163"/>
      <c r="X77"/>
      <c r="Y77"/>
    </row>
    <row r="78" spans="2:25" ht="16.5" thickBot="1" x14ac:dyDescent="0.3">
      <c r="B78" s="462"/>
      <c r="D78" s="369" t="s">
        <v>5</v>
      </c>
      <c r="E78" s="370" cm="1">
        <f t="array" ref="E7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78" s="380" cm="1">
        <f t="array" ref="F78">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78" s="341"/>
      <c r="H78" s="341"/>
      <c r="I78" s="372" t="s">
        <v>12</v>
      </c>
      <c r="J78" s="341"/>
      <c r="K78" s="340"/>
      <c r="L78" s="340" t="s">
        <v>99</v>
      </c>
      <c r="M78" s="340" t="s">
        <v>316</v>
      </c>
      <c r="N78" s="378">
        <f>tbl_project_planner[[#This Row],[End Date]]-tbl_project_planner[[#This Row],[Start Date]]+1</f>
        <v>1</v>
      </c>
      <c r="O78" s="381">
        <f>COUNTIFS(tbl_staff_holidays[Date], "&gt;=" &amp; tbl_project_planner[[#This Row],[Start Date]], tbl_staff_holidays[Date], "&lt;=" &amp; tbl_project_planner[[#This Row],[End Date]], tbl_staff_holidays[Staff], tbl_project_planner[[#This Row],[Assigned To]])</f>
        <v>0</v>
      </c>
      <c r="P78" s="376">
        <f>IF(OR(tbl_project_planner[[#This Row],[End Date]]="",tbl_project_planner[[#This Row],[End Date]]="#N/A"),WEEKDAY(tbl_project_planner[[#This Row],[Start Date]],1),WEEKDAY(tbl_project_planner[[#This Row],[End Date]],1))</f>
        <v>2</v>
      </c>
      <c r="Q78" s="82" t="str" cm="1">
        <f t="array" ref="Q78">IFERROR(_xlfn.UNIQUE(_xlfn._xlws.FILTER(tbl_staff_list[RoleRef],tbl_staff_list[Role]=tbl_project_planner[[#This Row],[Role]],),,),"")</f>
        <v>RoleRef_1</v>
      </c>
      <c r="R78" s="82" t="b" cm="1">
        <f t="array" ref="R78">IFERROR(IF(ISNUMBER(MATCH(tbl_project_planner[[#This Row],[Assigned To]], _xlfn._xlws.FILTER(tbl_staff_list[Name], tbl_staff_list[Role] = tbl_project_planner[[#This Row],[Role]]), 0)), FALSE, TRUE), "No Staff Assigned")</f>
        <v>0</v>
      </c>
      <c r="T78" s="188"/>
      <c r="U78" s="11"/>
      <c r="V78" s="11"/>
      <c r="W78" s="163"/>
      <c r="X78"/>
      <c r="Y78"/>
    </row>
    <row r="79" spans="2:25" ht="16.5" thickTop="1" x14ac:dyDescent="0.25">
      <c r="B79" s="441"/>
      <c r="C79" s="431"/>
      <c r="D79" s="382" t="s">
        <v>90</v>
      </c>
      <c r="E79" s="383">
        <f>MAX(F74:F78)</f>
        <v>45785</v>
      </c>
      <c r="F79" s="384"/>
      <c r="G79" s="385">
        <f>SUMIF(I74:I78,"&lt;&gt;N/A",G74:G78)</f>
        <v>20</v>
      </c>
      <c r="H79" s="385">
        <f>SUMIF($I74:$I78,"&lt;&gt;N/A",H74:H78)</f>
        <v>20</v>
      </c>
      <c r="I79" s="386"/>
      <c r="J79" s="386"/>
      <c r="K79" s="387"/>
      <c r="L79" s="387"/>
      <c r="M79" s="387"/>
      <c r="N79" s="388">
        <f>SUM(N73:N78)</f>
        <v>30</v>
      </c>
      <c r="O79" s="386"/>
      <c r="P79" s="389">
        <f>IF(OR(tbl_project_planner[[#This Row],[End Date]]="",tbl_project_planner[[#This Row],[End Date]]="#N/A"),WEEKDAY(tbl_project_planner[[#This Row],[Start Date]],1),WEEKDAY(tbl_project_planner[[#This Row],[End Date]],1))</f>
        <v>5</v>
      </c>
      <c r="Q79" s="82" t="str" cm="1">
        <f t="array" ref="Q79">IFERROR(_xlfn.UNIQUE(_xlfn._xlws.FILTER(tbl_staff_list[RoleRef],tbl_staff_list[Role]=tbl_project_planner[[#This Row],[Role]],),,),"")</f>
        <v/>
      </c>
      <c r="T79" s="188"/>
      <c r="U79" s="11"/>
      <c r="V79" s="11"/>
      <c r="W79" s="163"/>
      <c r="X79"/>
      <c r="Y79"/>
    </row>
    <row r="80" spans="2:25" x14ac:dyDescent="0.25">
      <c r="B80" s="463" t="s">
        <v>415</v>
      </c>
      <c r="C80" s="437" t="s">
        <v>416</v>
      </c>
      <c r="D80" s="362" t="s">
        <v>30</v>
      </c>
      <c r="E80" s="363" cm="1">
        <f t="array" ref="E8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45677</v>
      </c>
      <c r="F80" s="390"/>
      <c r="G80" s="391"/>
      <c r="H80" s="391"/>
      <c r="I80" s="391"/>
      <c r="J80" s="391"/>
      <c r="K80" s="392"/>
      <c r="L80" s="392"/>
      <c r="M80" s="392"/>
      <c r="N80" s="393"/>
      <c r="O80" s="393"/>
      <c r="P80" s="367">
        <f>IF(OR(tbl_project_planner[[#This Row],[End Date]]="",tbl_project_planner[[#This Row],[End Date]]="#N/A"),WEEKDAY(tbl_project_planner[[#This Row],[Start Date]],1),WEEKDAY(tbl_project_planner[[#This Row],[End Date]],1))</f>
        <v>2</v>
      </c>
      <c r="Q80" s="82" t="str" cm="1">
        <f t="array" ref="Q80">IFERROR(_xlfn.UNIQUE(_xlfn._xlws.FILTER(tbl_staff_list[RoleRef],tbl_staff_list[Role]=tbl_project_planner[[#This Row],[Role]],),,),"")</f>
        <v/>
      </c>
      <c r="T80" s="188"/>
      <c r="U80" s="11"/>
      <c r="V80" s="11"/>
      <c r="W80" s="163"/>
      <c r="X80"/>
      <c r="Y80"/>
    </row>
    <row r="81" spans="2:25" x14ac:dyDescent="0.25">
      <c r="B81" s="464"/>
      <c r="C81" s="433"/>
      <c r="D81" s="369" t="s">
        <v>1</v>
      </c>
      <c r="E81" s="370" cm="1">
        <f t="array" ref="E8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81" s="371" cm="1">
        <f t="array" ref="F81">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81" s="395"/>
      <c r="H81" s="395"/>
      <c r="I81" s="396" t="s">
        <v>12</v>
      </c>
      <c r="J81" s="395"/>
      <c r="K81" s="394"/>
      <c r="L81" s="394" t="s">
        <v>99</v>
      </c>
      <c r="M81" s="394" t="s">
        <v>316</v>
      </c>
      <c r="N81" s="374">
        <f>tbl_project_planner[[#This Row],[End Date]]-tbl_project_planner[[#This Row],[Start Date]]+1</f>
        <v>1</v>
      </c>
      <c r="O81" s="375">
        <f>COUNTIFS(tbl_staff_holidays[Date], "&gt;=" &amp; tbl_project_planner[[#This Row],[Start Date]], tbl_staff_holidays[Date], "&lt;=" &amp; tbl_project_planner[[#This Row],[End Date]], tbl_staff_holidays[Staff], tbl_project_planner[[#This Row],[Assigned To]])</f>
        <v>0</v>
      </c>
      <c r="P81" s="376">
        <f>IF(OR(tbl_project_planner[[#This Row],[End Date]]="",tbl_project_planner[[#This Row],[End Date]]="#N/A"),WEEKDAY(tbl_project_planner[[#This Row],[Start Date]],1),WEEKDAY(tbl_project_planner[[#This Row],[End Date]],1))</f>
        <v>2</v>
      </c>
      <c r="Q81" s="82" t="str" cm="1">
        <f t="array" ref="Q81">IFERROR(_xlfn.UNIQUE(_xlfn._xlws.FILTER(tbl_staff_list[RoleRef],tbl_staff_list[Role]=tbl_project_planner[[#This Row],[Role]],),,),"")</f>
        <v>RoleRef_1</v>
      </c>
      <c r="R81" s="82" t="b" cm="1">
        <f t="array" ref="R81">IFERROR(IF(ISNUMBER(MATCH(tbl_project_planner[[#This Row],[Assigned To]], _xlfn._xlws.FILTER(tbl_staff_list[Name], tbl_staff_list[Role] = tbl_project_planner[[#This Row],[Role]]), 0)), FALSE, TRUE), "No Staff Assigned")</f>
        <v>0</v>
      </c>
      <c r="T81" s="188"/>
      <c r="U81" s="11"/>
      <c r="V81" s="11"/>
      <c r="W81" s="163"/>
      <c r="X81"/>
      <c r="Y81"/>
    </row>
    <row r="82" spans="2:25" x14ac:dyDescent="0.25">
      <c r="B82" s="464"/>
      <c r="C82" s="433"/>
      <c r="D82" s="369" t="s">
        <v>2</v>
      </c>
      <c r="E82" s="370" cm="1">
        <f t="array" ref="E8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82" s="377" cm="1">
        <f t="array" ref="F82">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82" s="395"/>
      <c r="H82" s="395"/>
      <c r="I82" s="396" t="s">
        <v>12</v>
      </c>
      <c r="J82" s="395"/>
      <c r="K82" s="394"/>
      <c r="L82" s="394" t="s">
        <v>99</v>
      </c>
      <c r="M82" s="394" t="s">
        <v>316</v>
      </c>
      <c r="N82" s="378">
        <f>tbl_project_planner[[#This Row],[End Date]]-tbl_project_planner[[#This Row],[Start Date]]+1</f>
        <v>1</v>
      </c>
      <c r="O82" s="379">
        <f>COUNTIFS(tbl_staff_holidays[Date], "&gt;=" &amp; tbl_project_planner[[#This Row],[Start Date]], tbl_staff_holidays[Date], "&lt;=" &amp; tbl_project_planner[[#This Row],[End Date]], tbl_staff_holidays[Staff], tbl_project_planner[[#This Row],[Assigned To]])</f>
        <v>0</v>
      </c>
      <c r="P82" s="376">
        <f>IF(OR(tbl_project_planner[[#This Row],[End Date]]="",tbl_project_planner[[#This Row],[End Date]]="#N/A"),WEEKDAY(tbl_project_planner[[#This Row],[Start Date]],1),WEEKDAY(tbl_project_planner[[#This Row],[End Date]],1))</f>
        <v>2</v>
      </c>
      <c r="Q82" s="82" t="str" cm="1">
        <f t="array" ref="Q82">IFERROR(_xlfn.UNIQUE(_xlfn._xlws.FILTER(tbl_staff_list[RoleRef],tbl_staff_list[Role]=tbl_project_planner[[#This Row],[Role]],),,),"")</f>
        <v>RoleRef_1</v>
      </c>
      <c r="R82" s="82" t="b" cm="1">
        <f t="array" ref="R82">IFERROR(IF(ISNUMBER(MATCH(tbl_project_planner[[#This Row],[Assigned To]], _xlfn._xlws.FILTER(tbl_staff_list[Name], tbl_staff_list[Role] = tbl_project_planner[[#This Row],[Role]]), 0)), FALSE, TRUE), "No Staff Assigned")</f>
        <v>0</v>
      </c>
      <c r="T82" s="188"/>
      <c r="U82" s="11"/>
      <c r="V82" s="11"/>
      <c r="W82" s="163"/>
      <c r="X82"/>
      <c r="Y82"/>
    </row>
    <row r="83" spans="2:25" x14ac:dyDescent="0.25">
      <c r="B83" s="464"/>
      <c r="C83" s="433"/>
      <c r="D83" s="369" t="s">
        <v>3</v>
      </c>
      <c r="E83" s="370" cm="1">
        <f t="array" ref="E83">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83" s="377" cm="1">
        <f t="array" ref="F83">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83" s="395"/>
      <c r="H83" s="395"/>
      <c r="I83" s="396" t="s">
        <v>12</v>
      </c>
      <c r="J83" s="395"/>
      <c r="K83" s="394"/>
      <c r="L83" s="394" t="s">
        <v>99</v>
      </c>
      <c r="M83" s="394" t="s">
        <v>316</v>
      </c>
      <c r="N83" s="378">
        <f>tbl_project_planner[[#This Row],[End Date]]-tbl_project_planner[[#This Row],[Start Date]]+1</f>
        <v>1</v>
      </c>
      <c r="O83" s="379">
        <f>COUNTIFS(tbl_staff_holidays[Date], "&gt;=" &amp; tbl_project_planner[[#This Row],[Start Date]], tbl_staff_holidays[Date], "&lt;=" &amp; tbl_project_planner[[#This Row],[End Date]], tbl_staff_holidays[Staff], tbl_project_planner[[#This Row],[Assigned To]])</f>
        <v>0</v>
      </c>
      <c r="P83" s="376">
        <f>IF(OR(tbl_project_planner[[#This Row],[End Date]]="",tbl_project_planner[[#This Row],[End Date]]="#N/A"),WEEKDAY(tbl_project_planner[[#This Row],[Start Date]],1),WEEKDAY(tbl_project_planner[[#This Row],[End Date]],1))</f>
        <v>2</v>
      </c>
      <c r="Q83" s="82" t="str" cm="1">
        <f t="array" ref="Q83">IFERROR(_xlfn.UNIQUE(_xlfn._xlws.FILTER(tbl_staff_list[RoleRef],tbl_staff_list[Role]=tbl_project_planner[[#This Row],[Role]],),,),"")</f>
        <v>RoleRef_1</v>
      </c>
      <c r="R83" s="82" t="b" cm="1">
        <f t="array" ref="R83">IFERROR(IF(ISNUMBER(MATCH(tbl_project_planner[[#This Row],[Assigned To]], _xlfn._xlws.FILTER(tbl_staff_list[Name], tbl_staff_list[Role] = tbl_project_planner[[#This Row],[Role]]), 0)), FALSE, TRUE), "No Staff Assigned")</f>
        <v>0</v>
      </c>
      <c r="T83" s="188"/>
      <c r="U83" s="11"/>
      <c r="V83" s="11"/>
      <c r="W83" s="163"/>
      <c r="X83"/>
      <c r="Y83"/>
    </row>
    <row r="84" spans="2:25" x14ac:dyDescent="0.25">
      <c r="B84" s="464"/>
      <c r="C84" s="433"/>
      <c r="D84" s="369" t="s">
        <v>4</v>
      </c>
      <c r="E84" s="370" cm="1">
        <f t="array" ref="E84">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84" s="377" cm="1">
        <f t="array" ref="F84">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84" s="395"/>
      <c r="H84" s="395"/>
      <c r="I84" s="396" t="s">
        <v>12</v>
      </c>
      <c r="J84" s="395"/>
      <c r="K84" s="394"/>
      <c r="L84" s="394" t="s">
        <v>99</v>
      </c>
      <c r="M84" s="394" t="s">
        <v>316</v>
      </c>
      <c r="N84" s="378">
        <f>tbl_project_planner[[#This Row],[End Date]]-tbl_project_planner[[#This Row],[Start Date]]+1</f>
        <v>1</v>
      </c>
      <c r="O84" s="379">
        <f>COUNTIFS(tbl_staff_holidays[Date], "&gt;=" &amp; tbl_project_planner[[#This Row],[Start Date]], tbl_staff_holidays[Date], "&lt;=" &amp; tbl_project_planner[[#This Row],[End Date]], tbl_staff_holidays[Staff], tbl_project_planner[[#This Row],[Assigned To]])</f>
        <v>0</v>
      </c>
      <c r="P84" s="376">
        <f>IF(OR(tbl_project_planner[[#This Row],[End Date]]="",tbl_project_planner[[#This Row],[End Date]]="#N/A"),WEEKDAY(tbl_project_planner[[#This Row],[Start Date]],1),WEEKDAY(tbl_project_planner[[#This Row],[End Date]],1))</f>
        <v>2</v>
      </c>
      <c r="Q84" s="82" t="str" cm="1">
        <f t="array" ref="Q84">IFERROR(_xlfn.UNIQUE(_xlfn._xlws.FILTER(tbl_staff_list[RoleRef],tbl_staff_list[Role]=tbl_project_planner[[#This Row],[Role]],),,),"")</f>
        <v>RoleRef_1</v>
      </c>
      <c r="R84" s="82" t="b" cm="1">
        <f t="array" ref="R84">IFERROR(IF(ISNUMBER(MATCH(tbl_project_planner[[#This Row],[Assigned To]], _xlfn._xlws.FILTER(tbl_staff_list[Name], tbl_staff_list[Role] = tbl_project_planner[[#This Row],[Role]]), 0)), FALSE, TRUE), "No Staff Assigned")</f>
        <v>0</v>
      </c>
      <c r="T84" s="188"/>
      <c r="U84" s="11"/>
      <c r="V84" s="11"/>
      <c r="W84" s="163"/>
      <c r="X84"/>
      <c r="Y84"/>
    </row>
    <row r="85" spans="2:25" ht="16.5" thickBot="1" x14ac:dyDescent="0.3">
      <c r="B85" s="464"/>
      <c r="C85" s="433"/>
      <c r="D85" s="369" t="s">
        <v>5</v>
      </c>
      <c r="E85" s="370" cm="1">
        <f t="array" ref="E85">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85" s="380" cm="1">
        <f t="array" ref="F85">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85" s="395"/>
      <c r="H85" s="395"/>
      <c r="I85" s="396" t="s">
        <v>12</v>
      </c>
      <c r="J85" s="395"/>
      <c r="K85" s="394"/>
      <c r="L85" s="394" t="s">
        <v>99</v>
      </c>
      <c r="M85" s="394" t="s">
        <v>316</v>
      </c>
      <c r="N85" s="378">
        <f>tbl_project_planner[[#This Row],[End Date]]-tbl_project_planner[[#This Row],[Start Date]]+1</f>
        <v>1</v>
      </c>
      <c r="O85" s="381">
        <f>COUNTIFS(tbl_staff_holidays[Date], "&gt;=" &amp; tbl_project_planner[[#This Row],[Start Date]], tbl_staff_holidays[Date], "&lt;=" &amp; tbl_project_planner[[#This Row],[End Date]], tbl_staff_holidays[Staff], tbl_project_planner[[#This Row],[Assigned To]])</f>
        <v>0</v>
      </c>
      <c r="P85" s="376">
        <f>IF(OR(tbl_project_planner[[#This Row],[End Date]]="",tbl_project_planner[[#This Row],[End Date]]="#N/A"),WEEKDAY(tbl_project_planner[[#This Row],[Start Date]],1),WEEKDAY(tbl_project_planner[[#This Row],[End Date]],1))</f>
        <v>2</v>
      </c>
      <c r="Q85" s="82" t="str" cm="1">
        <f t="array" ref="Q85">IFERROR(_xlfn.UNIQUE(_xlfn._xlws.FILTER(tbl_staff_list[RoleRef],tbl_staff_list[Role]=tbl_project_planner[[#This Row],[Role]],),,),"")</f>
        <v>RoleRef_1</v>
      </c>
      <c r="R85" s="82" t="b" cm="1">
        <f t="array" ref="R85">IFERROR(IF(ISNUMBER(MATCH(tbl_project_planner[[#This Row],[Assigned To]], _xlfn._xlws.FILTER(tbl_staff_list[Name], tbl_staff_list[Role] = tbl_project_planner[[#This Row],[Role]]), 0)), FALSE, TRUE), "No Staff Assigned")</f>
        <v>0</v>
      </c>
      <c r="T85" s="188"/>
      <c r="U85" s="11"/>
      <c r="V85" s="11"/>
      <c r="W85" s="163"/>
      <c r="X85"/>
      <c r="Y85"/>
    </row>
    <row r="86" spans="2:25" ht="16.5" thickTop="1" x14ac:dyDescent="0.25">
      <c r="B86" s="441"/>
      <c r="C86" s="431"/>
      <c r="D86" s="382" t="s">
        <v>90</v>
      </c>
      <c r="E86" s="383">
        <f>MAX(F81:F85)</f>
        <v>2</v>
      </c>
      <c r="F86" s="397"/>
      <c r="G86" s="385">
        <f>SUMIF(I81:I85,"&lt;&gt;N/A",G81:G85)</f>
        <v>0</v>
      </c>
      <c r="H86" s="385">
        <f>SUMIF($I81:$I85,"&lt;&gt;N/A",H81:H85)</f>
        <v>0</v>
      </c>
      <c r="I86" s="398"/>
      <c r="J86" s="398"/>
      <c r="K86" s="399"/>
      <c r="L86" s="399"/>
      <c r="M86" s="399"/>
      <c r="N86" s="388">
        <f>SUM(N80:N85)</f>
        <v>5</v>
      </c>
      <c r="O86" s="400"/>
      <c r="P86" s="389">
        <f>IF(OR(tbl_project_planner[[#This Row],[End Date]]="",tbl_project_planner[[#This Row],[End Date]]="#N/A"),WEEKDAY(tbl_project_planner[[#This Row],[Start Date]],1),WEEKDAY(tbl_project_planner[[#This Row],[End Date]],1))</f>
        <v>2</v>
      </c>
      <c r="Q86" s="82" t="str" cm="1">
        <f t="array" ref="Q86">IFERROR(_xlfn.UNIQUE(_xlfn._xlws.FILTER(tbl_staff_list[RoleRef],tbl_staff_list[Role]=tbl_project_planner[[#This Row],[Role]],),,),"")</f>
        <v/>
      </c>
      <c r="T86" s="188"/>
      <c r="U86" s="11"/>
      <c r="V86" s="11"/>
      <c r="W86" s="163"/>
      <c r="X86"/>
      <c r="Y86"/>
    </row>
    <row r="87" spans="2:25" x14ac:dyDescent="0.25">
      <c r="B87" s="465" t="s">
        <v>417</v>
      </c>
      <c r="C87" s="438" t="s">
        <v>416</v>
      </c>
      <c r="D87" s="403" t="s">
        <v>30</v>
      </c>
      <c r="E87" s="363" cm="1">
        <f t="array" ref="E87">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_xlfn._xlws.SORT(_xlfn.VSTACK(tbl_staff_holidays[Date],tbl_bank_holidays[Date]))
)</f>
        <v>45677</v>
      </c>
      <c r="F87" s="401"/>
      <c r="G87" s="341"/>
      <c r="H87" s="341"/>
      <c r="I87" s="341"/>
      <c r="J87" s="341"/>
      <c r="K87" s="340"/>
      <c r="L87" s="340"/>
      <c r="M87" s="340"/>
      <c r="N87" s="341"/>
      <c r="O87" s="341"/>
      <c r="P87" s="367">
        <f>IF(OR(tbl_project_planner[[#This Row],[End Date]]="",tbl_project_planner[[#This Row],[End Date]]="#N/A"),WEEKDAY(tbl_project_planner[[#This Row],[Start Date]],1),WEEKDAY(tbl_project_planner[[#This Row],[End Date]],1))</f>
        <v>2</v>
      </c>
      <c r="Q87" s="82" t="str" cm="1">
        <f t="array" ref="Q87">IFERROR(_xlfn.UNIQUE(_xlfn._xlws.FILTER(tbl_staff_list[RoleRef],tbl_staff_list[Role]=tbl_project_planner[[#This Row],[Role]],),,),"")</f>
        <v/>
      </c>
      <c r="T87" s="188"/>
      <c r="U87" s="11"/>
      <c r="V87" s="11"/>
      <c r="W87" s="163"/>
      <c r="X87"/>
      <c r="Y87"/>
    </row>
    <row r="88" spans="2:25" x14ac:dyDescent="0.25">
      <c r="B88" s="466"/>
      <c r="D88" s="369" t="s">
        <v>1</v>
      </c>
      <c r="E88" s="370" cm="1">
        <f t="array" ref="E88">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88" s="371" cm="1">
        <f t="array" ref="F88">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88" s="341"/>
      <c r="H88" s="341"/>
      <c r="I88" s="372" t="s">
        <v>12</v>
      </c>
      <c r="J88" s="341"/>
      <c r="K88" s="340"/>
      <c r="L88" s="340" t="s">
        <v>99</v>
      </c>
      <c r="M88" s="340" t="s">
        <v>316</v>
      </c>
      <c r="N88" s="374">
        <f>tbl_project_planner[[#This Row],[End Date]]-tbl_project_planner[[#This Row],[Start Date]]+1</f>
        <v>1</v>
      </c>
      <c r="O88" s="375">
        <f>COUNTIFS(tbl_staff_holidays[Date], "&gt;=" &amp; tbl_project_planner[[#This Row],[Start Date]], tbl_staff_holidays[Date], "&lt;=" &amp; tbl_project_planner[[#This Row],[End Date]], tbl_staff_holidays[Staff], tbl_project_planner[[#This Row],[Assigned To]])</f>
        <v>0</v>
      </c>
      <c r="P88" s="376">
        <f>IF(OR(tbl_project_planner[[#This Row],[End Date]]="",tbl_project_planner[[#This Row],[End Date]]="#N/A"),WEEKDAY(tbl_project_planner[[#This Row],[Start Date]],1),WEEKDAY(tbl_project_planner[[#This Row],[End Date]],1))</f>
        <v>2</v>
      </c>
      <c r="Q88" s="82" t="str" cm="1">
        <f t="array" ref="Q88">IFERROR(_xlfn.UNIQUE(_xlfn._xlws.FILTER(tbl_staff_list[RoleRef],tbl_staff_list[Role]=tbl_project_planner[[#This Row],[Role]],),,),"")</f>
        <v>RoleRef_1</v>
      </c>
      <c r="R88" s="82" t="b" cm="1">
        <f t="array" ref="R88">IFERROR(IF(ISNUMBER(MATCH(tbl_project_planner[[#This Row],[Assigned To]], _xlfn._xlws.FILTER(tbl_staff_list[Name], tbl_staff_list[Role] = tbl_project_planner[[#This Row],[Role]]), 0)), FALSE, TRUE), "No Staff Assigned")</f>
        <v>0</v>
      </c>
      <c r="T88" s="188"/>
      <c r="U88" s="11"/>
      <c r="V88" s="11"/>
      <c r="W88" s="163"/>
      <c r="X88"/>
      <c r="Y88"/>
    </row>
    <row r="89" spans="2:25" x14ac:dyDescent="0.25">
      <c r="B89" s="466"/>
      <c r="D89" s="369" t="s">
        <v>2</v>
      </c>
      <c r="E89" s="370" cm="1">
        <f t="array" ref="E89">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89" s="377" cm="1">
        <f t="array" ref="F89">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89" s="341"/>
      <c r="H89" s="341"/>
      <c r="I89" s="372" t="s">
        <v>12</v>
      </c>
      <c r="J89" s="341"/>
      <c r="K89" s="340"/>
      <c r="L89" s="340" t="s">
        <v>99</v>
      </c>
      <c r="M89" s="340" t="s">
        <v>316</v>
      </c>
      <c r="N89" s="378">
        <f>tbl_project_planner[[#This Row],[End Date]]-tbl_project_planner[[#This Row],[Start Date]]+1</f>
        <v>1</v>
      </c>
      <c r="O89" s="379">
        <f>COUNTIFS(tbl_staff_holidays[Date], "&gt;=" &amp; tbl_project_planner[[#This Row],[Start Date]], tbl_staff_holidays[Date], "&lt;=" &amp; tbl_project_planner[[#This Row],[End Date]], tbl_staff_holidays[Staff], tbl_project_planner[[#This Row],[Assigned To]])</f>
        <v>0</v>
      </c>
      <c r="P89" s="376">
        <f>IF(OR(tbl_project_planner[[#This Row],[End Date]]="",tbl_project_planner[[#This Row],[End Date]]="#N/A"),WEEKDAY(tbl_project_planner[[#This Row],[Start Date]],1),WEEKDAY(tbl_project_planner[[#This Row],[End Date]],1))</f>
        <v>2</v>
      </c>
      <c r="Q89" s="82" t="str" cm="1">
        <f t="array" ref="Q89">IFERROR(_xlfn.UNIQUE(_xlfn._xlws.FILTER(tbl_staff_list[RoleRef],tbl_staff_list[Role]=tbl_project_planner[[#This Row],[Role]],),,),"")</f>
        <v>RoleRef_1</v>
      </c>
      <c r="R89" s="82" t="b" cm="1">
        <f t="array" ref="R89">IFERROR(IF(ISNUMBER(MATCH(tbl_project_planner[[#This Row],[Assigned To]], _xlfn._xlws.FILTER(tbl_staff_list[Name], tbl_staff_list[Role] = tbl_project_planner[[#This Row],[Role]]), 0)), FALSE, TRUE), "No Staff Assigned")</f>
        <v>0</v>
      </c>
      <c r="T89" s="188"/>
      <c r="U89" s="11"/>
      <c r="V89" s="11"/>
      <c r="W89" s="163"/>
      <c r="X89"/>
      <c r="Y89"/>
    </row>
    <row r="90" spans="2:25" x14ac:dyDescent="0.25">
      <c r="B90" s="466"/>
      <c r="D90" s="369" t="s">
        <v>3</v>
      </c>
      <c r="E90" s="370" cm="1">
        <f t="array" ref="E90">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90" s="377" cm="1">
        <f t="array" ref="F90">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90" s="341"/>
      <c r="H90" s="341"/>
      <c r="I90" s="372" t="s">
        <v>12</v>
      </c>
      <c r="J90" s="341"/>
      <c r="K90" s="340"/>
      <c r="L90" s="340" t="s">
        <v>99</v>
      </c>
      <c r="M90" s="340" t="s">
        <v>316</v>
      </c>
      <c r="N90" s="378">
        <f>tbl_project_planner[[#This Row],[End Date]]-tbl_project_planner[[#This Row],[Start Date]]+1</f>
        <v>1</v>
      </c>
      <c r="O90" s="379">
        <f>COUNTIFS(tbl_staff_holidays[Date], "&gt;=" &amp; tbl_project_planner[[#This Row],[Start Date]], tbl_staff_holidays[Date], "&lt;=" &amp; tbl_project_planner[[#This Row],[End Date]], tbl_staff_holidays[Staff], tbl_project_planner[[#This Row],[Assigned To]])</f>
        <v>0</v>
      </c>
      <c r="P90" s="376">
        <f>IF(OR(tbl_project_planner[[#This Row],[End Date]]="",tbl_project_planner[[#This Row],[End Date]]="#N/A"),WEEKDAY(tbl_project_planner[[#This Row],[Start Date]],1),WEEKDAY(tbl_project_planner[[#This Row],[End Date]],1))</f>
        <v>2</v>
      </c>
      <c r="Q90" s="82" t="str" cm="1">
        <f t="array" ref="Q90">IFERROR(_xlfn.UNIQUE(_xlfn._xlws.FILTER(tbl_staff_list[RoleRef],tbl_staff_list[Role]=tbl_project_planner[[#This Row],[Role]],),,),"")</f>
        <v>RoleRef_1</v>
      </c>
      <c r="R90" s="82" t="b" cm="1">
        <f t="array" ref="R90">IFERROR(IF(ISNUMBER(MATCH(tbl_project_planner[[#This Row],[Assigned To]], _xlfn._xlws.FILTER(tbl_staff_list[Name], tbl_staff_list[Role] = tbl_project_planner[[#This Row],[Role]]), 0)), FALSE, TRUE), "No Staff Assigned")</f>
        <v>0</v>
      </c>
      <c r="T90" s="188"/>
      <c r="U90" s="11"/>
      <c r="V90" s="11"/>
      <c r="W90" s="163"/>
      <c r="X90"/>
      <c r="Y90"/>
    </row>
    <row r="91" spans="2:25" x14ac:dyDescent="0.25">
      <c r="B91" s="466"/>
      <c r="D91" s="369" t="s">
        <v>4</v>
      </c>
      <c r="E91" s="370" cm="1">
        <f t="array" ref="E91">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91" s="377" cm="1">
        <f t="array" ref="F91">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91" s="341"/>
      <c r="H91" s="341"/>
      <c r="I91" s="372" t="s">
        <v>12</v>
      </c>
      <c r="J91" s="341"/>
      <c r="K91" s="340"/>
      <c r="L91" s="340" t="s">
        <v>99</v>
      </c>
      <c r="M91" s="340" t="s">
        <v>316</v>
      </c>
      <c r="N91" s="378">
        <f>tbl_project_planner[[#This Row],[End Date]]-tbl_project_planner[[#This Row],[Start Date]]+1</f>
        <v>1</v>
      </c>
      <c r="O91" s="379">
        <f>COUNTIFS(tbl_staff_holidays[Date], "&gt;=" &amp; tbl_project_planner[[#This Row],[Start Date]], tbl_staff_holidays[Date], "&lt;=" &amp; tbl_project_planner[[#This Row],[End Date]], tbl_staff_holidays[Staff], tbl_project_planner[[#This Row],[Assigned To]])</f>
        <v>0</v>
      </c>
      <c r="P91" s="376">
        <f>IF(OR(tbl_project_planner[[#This Row],[End Date]]="",tbl_project_planner[[#This Row],[End Date]]="#N/A"),WEEKDAY(tbl_project_planner[[#This Row],[Start Date]],1),WEEKDAY(tbl_project_planner[[#This Row],[End Date]],1))</f>
        <v>2</v>
      </c>
      <c r="Q91" s="82" t="str" cm="1">
        <f t="array" ref="Q91">IFERROR(_xlfn.UNIQUE(_xlfn._xlws.FILTER(tbl_staff_list[RoleRef],tbl_staff_list[Role]=tbl_project_planner[[#This Row],[Role]],),,),"")</f>
        <v>RoleRef_1</v>
      </c>
      <c r="R91" s="82" t="b" cm="1">
        <f t="array" ref="R91">IFERROR(IF(ISNUMBER(MATCH(tbl_project_planner[[#This Row],[Assigned To]], _xlfn._xlws.FILTER(tbl_staff_list[Name], tbl_staff_list[Role] = tbl_project_planner[[#This Row],[Role]]), 0)), FALSE, TRUE), "No Staff Assigned")</f>
        <v>0</v>
      </c>
      <c r="T91" s="188"/>
      <c r="U91" s="11"/>
      <c r="V91" s="11"/>
      <c r="W91" s="163"/>
      <c r="X91"/>
      <c r="Y91"/>
    </row>
    <row r="92" spans="2:25" ht="16.5" thickBot="1" x14ac:dyDescent="0.3">
      <c r="B92" s="466"/>
      <c r="D92" s="369" t="s">
        <v>5</v>
      </c>
      <c r="E92" s="370" cm="1">
        <f t="array" ref="E92">WORKDAY.INTL(
    MAX(
        IFERROR(
            INDEX(tbl_project_planner[End Date], MATCH(tbl_project_planner[[#This Row],[Dependency]], tbl_project_planner[Ref], 0)),
            0
        ),
        IFERROR(
            MAX(_xlfn._xlws.FILTER(tbl_project_planner[End Date], (tbl_project_planner[Role]=tbl_project_planner[[#This Row],[Assigned To]]) * (tbl_project_planner[Ref]&lt;tbl_project_planner[[#This Row],[Ref]]))),
            0
        )
    ),
    1,
    ,
    _xlfn._xlws.SORT(
        _xlfn.VSTACK(
            _xlfn._xlws.FILTER(tbl_staff_holidays[Date], tbl_staff_holidays[Staff]=tbl_project_planner[[#This Row],[Assigned To]]),
            tbl_bank_holidays[Date]
        )
    )
)</f>
        <v>2</v>
      </c>
      <c r="F92" s="380" cm="1">
        <f t="array" ref="F92">IF(
   tbl_project_planner[[#This Row],[Done%]]="N/A",
   tbl_project_planner[[#This Row],[Start Date]],
   WORKDAY.INTL(
       tbl_project_planner[[#This Row],[Start Date]],
       tbl_project_planner[[#This Row],[Actual]]-1,1,
       _xlfn._xlws.SORT(_xlfn.VSTACK(
           IFERROR(_xlfn._xlws.FILTER(tbl_staff_holidays[Date], tbl_staff_holidays[Staff]=tbl_project_planner[[#This Row],[Assigned To]]), {1}),
           tbl_bank_holidays[Date])
   )
))</f>
        <v>2</v>
      </c>
      <c r="G92" s="341"/>
      <c r="H92" s="341"/>
      <c r="I92" s="372" t="s">
        <v>12</v>
      </c>
      <c r="J92" s="341"/>
      <c r="K92" s="340"/>
      <c r="L92" s="340" t="s">
        <v>99</v>
      </c>
      <c r="M92" s="340" t="s">
        <v>316</v>
      </c>
      <c r="N92" s="378">
        <f>tbl_project_planner[[#This Row],[End Date]]-tbl_project_planner[[#This Row],[Start Date]]+1</f>
        <v>1</v>
      </c>
      <c r="O92" s="381">
        <f>COUNTIFS(tbl_staff_holidays[Date], "&gt;=" &amp; tbl_project_planner[[#This Row],[Start Date]], tbl_staff_holidays[Date], "&lt;=" &amp; tbl_project_planner[[#This Row],[End Date]], tbl_staff_holidays[Staff], tbl_project_planner[[#This Row],[Assigned To]])</f>
        <v>0</v>
      </c>
      <c r="P92" s="376">
        <f>IF(OR(tbl_project_planner[[#This Row],[End Date]]="",tbl_project_planner[[#This Row],[End Date]]="#N/A"),WEEKDAY(tbl_project_planner[[#This Row],[Start Date]],1),WEEKDAY(tbl_project_planner[[#This Row],[End Date]],1))</f>
        <v>2</v>
      </c>
      <c r="Q92" s="82" t="str" cm="1">
        <f t="array" ref="Q92">IFERROR(_xlfn.UNIQUE(_xlfn._xlws.FILTER(tbl_staff_list[RoleRef],tbl_staff_list[Role]=tbl_project_planner[[#This Row],[Role]],),,),"")</f>
        <v>RoleRef_1</v>
      </c>
      <c r="R92" s="82" t="b" cm="1">
        <f t="array" ref="R92">IFERROR(IF(ISNUMBER(MATCH(tbl_project_planner[[#This Row],[Assigned To]], _xlfn._xlws.FILTER(tbl_staff_list[Name], tbl_staff_list[Role] = tbl_project_planner[[#This Row],[Role]]), 0)), FALSE, TRUE), "No Staff Assigned")</f>
        <v>0</v>
      </c>
      <c r="T92" s="188"/>
      <c r="U92" s="11"/>
      <c r="V92" s="11"/>
      <c r="W92" s="163"/>
      <c r="X92"/>
      <c r="Y92"/>
    </row>
    <row r="93" spans="2:25" ht="16.5" thickTop="1" x14ac:dyDescent="0.25">
      <c r="B93" s="452"/>
      <c r="C93" s="439"/>
      <c r="D93" s="403" t="s">
        <v>90</v>
      </c>
      <c r="E93" s="383">
        <f>MAX(F88:F92)</f>
        <v>2</v>
      </c>
      <c r="F93" s="384"/>
      <c r="G93" s="385">
        <f>SUMIF(I88:I92,"&lt;&gt;N/A",G88:G92)</f>
        <v>0</v>
      </c>
      <c r="H93" s="385">
        <f>SUMIF($I88:$I92,"&lt;&gt;N/A",H88:H92)</f>
        <v>0</v>
      </c>
      <c r="I93" s="341"/>
      <c r="J93" s="341"/>
      <c r="K93" s="340"/>
      <c r="L93" s="340"/>
      <c r="M93" s="340"/>
      <c r="N93" s="388">
        <f>SUM(N87:N92)</f>
        <v>5</v>
      </c>
      <c r="O93" s="386"/>
      <c r="P93" s="389">
        <f>IF(OR(tbl_project_planner[[#This Row],[End Date]]="",tbl_project_planner[[#This Row],[End Date]]="#N/A"),WEEKDAY(tbl_project_planner[[#This Row],[Start Date]],1),WEEKDAY(tbl_project_planner[[#This Row],[End Date]],1))</f>
        <v>2</v>
      </c>
      <c r="Q93" s="82" t="str" cm="1">
        <f t="array" ref="Q93">IFERROR(_xlfn.UNIQUE(_xlfn._xlws.FILTER(tbl_staff_list[RoleRef],tbl_staff_list[Role]=tbl_project_planner[[#This Row],[Role]],),,),"")</f>
        <v/>
      </c>
      <c r="T93" s="188"/>
      <c r="U93" s="11"/>
      <c r="V93" s="11"/>
      <c r="W93" s="163"/>
      <c r="X93"/>
      <c r="Y93"/>
    </row>
    <row r="94" spans="2:25" x14ac:dyDescent="0.25">
      <c r="T94" s="188"/>
      <c r="U94" s="11"/>
      <c r="V94" s="11"/>
      <c r="W94" s="163"/>
      <c r="X94"/>
      <c r="Y94"/>
    </row>
    <row r="95" spans="2:25" x14ac:dyDescent="0.25">
      <c r="T95" s="188"/>
      <c r="U95" s="11"/>
      <c r="V95" s="11"/>
      <c r="W95" s="163"/>
      <c r="X95"/>
      <c r="Y95"/>
    </row>
    <row r="96" spans="2:25" x14ac:dyDescent="0.25">
      <c r="T96" s="188"/>
      <c r="U96" s="11"/>
      <c r="V96" s="11"/>
      <c r="W96" s="163"/>
      <c r="X96"/>
      <c r="Y96"/>
    </row>
    <row r="97" spans="20:25" x14ac:dyDescent="0.25">
      <c r="T97" s="188"/>
      <c r="U97" s="11"/>
      <c r="V97" s="11"/>
      <c r="W97" s="163"/>
      <c r="X97"/>
      <c r="Y97"/>
    </row>
    <row r="98" spans="20:25" x14ac:dyDescent="0.25">
      <c r="T98" s="188"/>
      <c r="U98" s="11"/>
      <c r="V98" s="11"/>
      <c r="W98" s="163"/>
      <c r="X98"/>
      <c r="Y98"/>
    </row>
    <row r="99" spans="20:25" x14ac:dyDescent="0.25">
      <c r="T99" s="188"/>
      <c r="U99" s="11"/>
      <c r="V99" s="11"/>
      <c r="W99" s="163"/>
      <c r="X99"/>
      <c r="Y99"/>
    </row>
    <row r="100" spans="20:25" x14ac:dyDescent="0.25">
      <c r="T100" s="188"/>
      <c r="U100" s="11"/>
      <c r="V100" s="11"/>
      <c r="W100" s="163"/>
      <c r="X100"/>
      <c r="Y100"/>
    </row>
    <row r="101" spans="20:25" x14ac:dyDescent="0.25">
      <c r="T101" s="188"/>
      <c r="U101" s="11"/>
      <c r="V101" s="11"/>
      <c r="W101" s="163"/>
      <c r="X101"/>
      <c r="Y101"/>
    </row>
    <row r="102" spans="20:25" x14ac:dyDescent="0.25">
      <c r="T102" s="188"/>
      <c r="U102" s="11"/>
      <c r="V102" s="11"/>
      <c r="W102" s="163"/>
      <c r="X102"/>
      <c r="Y102"/>
    </row>
    <row r="103" spans="20:25" x14ac:dyDescent="0.25">
      <c r="T103" s="188"/>
      <c r="U103" s="11"/>
      <c r="V103" s="11"/>
      <c r="W103" s="163"/>
      <c r="X103"/>
      <c r="Y103"/>
    </row>
    <row r="104" spans="20:25" x14ac:dyDescent="0.25">
      <c r="T104" s="188"/>
      <c r="U104" s="11"/>
      <c r="V104" s="11"/>
      <c r="W104" s="163"/>
      <c r="X104"/>
      <c r="Y104"/>
    </row>
    <row r="105" spans="20:25" x14ac:dyDescent="0.25">
      <c r="T105" s="188"/>
      <c r="U105" s="11"/>
      <c r="V105" s="11"/>
      <c r="W105" s="163"/>
      <c r="X105"/>
      <c r="Y105"/>
    </row>
    <row r="106" spans="20:25" x14ac:dyDescent="0.25">
      <c r="T106" s="188"/>
      <c r="U106" s="11"/>
      <c r="V106" s="11"/>
      <c r="W106" s="163"/>
      <c r="X106"/>
      <c r="Y106"/>
    </row>
    <row r="107" spans="20:25" x14ac:dyDescent="0.25">
      <c r="T107" s="188"/>
      <c r="U107" s="11"/>
      <c r="V107" s="11"/>
      <c r="W107" s="163"/>
      <c r="X107"/>
      <c r="Y107"/>
    </row>
    <row r="108" spans="20:25" x14ac:dyDescent="0.25">
      <c r="T108" s="188"/>
      <c r="U108" s="11"/>
      <c r="V108" s="11"/>
      <c r="W108" s="163"/>
      <c r="X108"/>
      <c r="Y108"/>
    </row>
    <row r="109" spans="20:25" x14ac:dyDescent="0.25">
      <c r="T109" s="188"/>
      <c r="U109" s="11"/>
      <c r="V109" s="11"/>
      <c r="W109" s="163"/>
      <c r="X109"/>
      <c r="Y109"/>
    </row>
    <row r="110" spans="20:25" x14ac:dyDescent="0.25">
      <c r="T110" s="188"/>
      <c r="U110" s="11"/>
      <c r="V110" s="11"/>
      <c r="W110" s="163"/>
      <c r="X110"/>
      <c r="Y110"/>
    </row>
    <row r="111" spans="20:25" x14ac:dyDescent="0.25">
      <c r="T111" s="188"/>
      <c r="U111" s="11"/>
      <c r="V111" s="11"/>
      <c r="W111" s="163"/>
      <c r="X111"/>
      <c r="Y111"/>
    </row>
    <row r="112" spans="20:25" x14ac:dyDescent="0.25">
      <c r="T112" s="188"/>
      <c r="U112" s="11"/>
      <c r="V112" s="11"/>
      <c r="W112" s="163"/>
      <c r="X112"/>
      <c r="Y112"/>
    </row>
    <row r="113" spans="20:25" x14ac:dyDescent="0.25">
      <c r="T113" s="188"/>
      <c r="U113" s="11"/>
      <c r="V113" s="11"/>
      <c r="W113" s="163"/>
      <c r="X113"/>
      <c r="Y113"/>
    </row>
    <row r="114" spans="20:25" x14ac:dyDescent="0.25">
      <c r="T114" s="188"/>
      <c r="U114" s="11"/>
      <c r="V114" s="11"/>
      <c r="W114" s="163"/>
      <c r="X114"/>
      <c r="Y114"/>
    </row>
    <row r="115" spans="20:25" x14ac:dyDescent="0.25">
      <c r="T115" s="188"/>
      <c r="U115" s="11"/>
      <c r="V115" s="11"/>
      <c r="W115" s="163"/>
      <c r="X115"/>
      <c r="Y115"/>
    </row>
    <row r="116" spans="20:25" x14ac:dyDescent="0.25">
      <c r="T116" s="188"/>
      <c r="U116" s="11"/>
      <c r="V116" s="11"/>
      <c r="W116" s="163"/>
      <c r="X116"/>
      <c r="Y116"/>
    </row>
    <row r="117" spans="20:25" x14ac:dyDescent="0.25">
      <c r="T117" s="188"/>
      <c r="U117" s="11"/>
      <c r="V117" s="11"/>
      <c r="W117" s="163"/>
      <c r="X117"/>
      <c r="Y117"/>
    </row>
    <row r="118" spans="20:25" x14ac:dyDescent="0.25">
      <c r="T118" s="188"/>
      <c r="U118" s="11"/>
      <c r="V118" s="11"/>
      <c r="W118" s="163"/>
      <c r="X118"/>
      <c r="Y118"/>
    </row>
    <row r="119" spans="20:25" x14ac:dyDescent="0.25">
      <c r="T119" s="188"/>
      <c r="U119" s="11"/>
      <c r="V119" s="11"/>
      <c r="W119" s="163"/>
      <c r="X119"/>
      <c r="Y119"/>
    </row>
    <row r="120" spans="20:25" x14ac:dyDescent="0.25">
      <c r="T120" s="188"/>
      <c r="U120" s="11"/>
      <c r="V120" s="11"/>
      <c r="W120" s="163"/>
      <c r="X120"/>
      <c r="Y120"/>
    </row>
    <row r="121" spans="20:25" x14ac:dyDescent="0.25">
      <c r="T121" s="188"/>
      <c r="U121" s="11"/>
      <c r="V121" s="11"/>
      <c r="W121" s="163"/>
      <c r="X121"/>
      <c r="Y121"/>
    </row>
    <row r="122" spans="20:25" x14ac:dyDescent="0.25">
      <c r="T122" s="188"/>
      <c r="U122" s="11"/>
      <c r="V122" s="11"/>
      <c r="W122" s="163"/>
      <c r="X122"/>
      <c r="Y122"/>
    </row>
    <row r="123" spans="20:25" x14ac:dyDescent="0.25">
      <c r="T123" s="188"/>
      <c r="U123" s="11"/>
      <c r="V123" s="11"/>
      <c r="W123" s="163"/>
      <c r="X123"/>
      <c r="Y123"/>
    </row>
    <row r="124" spans="20:25" x14ac:dyDescent="0.25">
      <c r="T124" s="188"/>
      <c r="U124" s="11"/>
      <c r="V124" s="11"/>
      <c r="W124" s="163"/>
      <c r="X124"/>
      <c r="Y124"/>
    </row>
    <row r="125" spans="20:25" x14ac:dyDescent="0.25">
      <c r="T125" s="188"/>
      <c r="U125" s="11"/>
      <c r="V125" s="11"/>
      <c r="W125" s="163"/>
      <c r="X125"/>
      <c r="Y125"/>
    </row>
    <row r="126" spans="20:25" x14ac:dyDescent="0.25">
      <c r="T126" s="188"/>
      <c r="U126" s="11"/>
      <c r="V126" s="11"/>
      <c r="W126" s="163"/>
      <c r="X126"/>
      <c r="Y126"/>
    </row>
    <row r="127" spans="20:25" x14ac:dyDescent="0.25">
      <c r="T127" s="188"/>
      <c r="U127" s="11"/>
      <c r="V127" s="11"/>
      <c r="W127" s="163"/>
      <c r="X127"/>
      <c r="Y127"/>
    </row>
    <row r="128" spans="20:25" x14ac:dyDescent="0.25">
      <c r="T128" s="188"/>
      <c r="U128" s="11"/>
      <c r="V128" s="11"/>
      <c r="W128" s="163"/>
      <c r="X128"/>
      <c r="Y128"/>
    </row>
    <row r="129" spans="20:25" x14ac:dyDescent="0.25">
      <c r="T129" s="188"/>
      <c r="U129" s="11"/>
      <c r="V129" s="11"/>
      <c r="W129" s="163"/>
      <c r="X129"/>
      <c r="Y129"/>
    </row>
    <row r="130" spans="20:25" x14ac:dyDescent="0.25">
      <c r="T130" s="188"/>
      <c r="U130" s="11"/>
      <c r="V130" s="11"/>
      <c r="W130" s="163"/>
      <c r="X130"/>
      <c r="Y130"/>
    </row>
    <row r="131" spans="20:25" x14ac:dyDescent="0.25">
      <c r="T131" s="188"/>
      <c r="U131" s="11"/>
      <c r="V131" s="11"/>
      <c r="W131" s="163"/>
      <c r="X131"/>
      <c r="Y131"/>
    </row>
    <row r="132" spans="20:25" x14ac:dyDescent="0.25">
      <c r="T132" s="188"/>
      <c r="U132" s="11"/>
      <c r="V132" s="11"/>
      <c r="W132" s="163"/>
      <c r="X132"/>
      <c r="Y132"/>
    </row>
    <row r="133" spans="20:25" x14ac:dyDescent="0.25">
      <c r="T133" s="188"/>
      <c r="U133" s="11"/>
      <c r="V133" s="11"/>
      <c r="W133" s="163"/>
      <c r="X133"/>
      <c r="Y133"/>
    </row>
    <row r="134" spans="20:25" x14ac:dyDescent="0.25">
      <c r="T134" s="188"/>
      <c r="U134" s="11"/>
      <c r="V134" s="11"/>
      <c r="W134" s="163"/>
      <c r="X134"/>
      <c r="Y134"/>
    </row>
    <row r="135" spans="20:25" x14ac:dyDescent="0.25">
      <c r="T135" s="188"/>
      <c r="U135" s="11"/>
      <c r="V135" s="11"/>
      <c r="W135" s="163"/>
      <c r="X135"/>
      <c r="Y135"/>
    </row>
    <row r="136" spans="20:25" x14ac:dyDescent="0.25">
      <c r="T136" s="188"/>
      <c r="U136" s="11"/>
      <c r="V136" s="11"/>
      <c r="W136" s="163"/>
      <c r="X136"/>
      <c r="Y136"/>
    </row>
    <row r="137" spans="20:25" x14ac:dyDescent="0.25">
      <c r="T137" s="188"/>
      <c r="U137" s="11"/>
      <c r="V137" s="11"/>
      <c r="W137" s="163"/>
      <c r="X137"/>
      <c r="Y137"/>
    </row>
    <row r="138" spans="20:25" x14ac:dyDescent="0.25">
      <c r="T138" s="188"/>
      <c r="U138" s="11"/>
      <c r="V138" s="11"/>
      <c r="W138" s="163"/>
      <c r="X138"/>
      <c r="Y138"/>
    </row>
  </sheetData>
  <sheetProtection algorithmName="SHA-512" hashValue="wywtbW460ibbEAk25zUUHpMB5uqiV4fr8oczkvw1qsNY/owQRh8epsQ9OUsUL6gRr22DNEluYCwzIPGk5635rw==" saltValue="eFjcCa89Ai5+OPUGmh0Uuw==" spinCount="100000" sheet="1" objects="1" scenarios="1" formatCells="0" formatColumns="0" formatRows="0" sort="0" autoFilter="0"/>
  <protectedRanges>
    <protectedRange sqref="G31:M36 G38:M43 G45:M51 G52:M57 G59:M64 G66:M71 G73:M78 G80:M85 G87:M92 G4:I8 J5:J8 K4:M8 G10:M15 G17:M22 G24:M30" name="ProjectPlan_details"/>
    <protectedRange sqref="C3:C92" name="ProjectPlan_Description"/>
    <protectedRange sqref="B5:B8 B10:B15 B17:B22 B24:B29 B31:B36 B38:B43 B45:B50 B52:B57 B59:B64 B66:B71 B73:B78 B80:B85 B87:B92" name="ProjectPlan_Ref"/>
    <protectedRange sqref="T15" name="ProjectPlan_CheckHolidays"/>
  </protectedRanges>
  <scenarios current="0" show="0">
    <scenario name="First_30" locked="1" count="30" user="tesh" comment="Created by tesh on 03/01/2025">
      <inputCells r="L4" val="Clara Bennett"/>
      <inputCells r="L5" val="James Whitmore"/>
      <inputCells r="L6" val="James Whitmore"/>
      <inputCells r="L7" val="Clara Bennett"/>
      <inputCells r="L8" val="James Whitmore"/>
      <inputCells r="L11" val="James Whitmore"/>
      <inputCells r="L12" val="Adam Kowalski"/>
      <inputCells r="L13" val="Priya Sharma"/>
      <inputCells r="L14" val="Clara Bennett"/>
      <inputCells r="L15" val="James Whitmore"/>
      <inputCells r="L18" val="Liam Gardner"/>
      <inputCells r="L19" val="Clara Bennett"/>
      <inputCells r="L20" val="Evelyn Hart"/>
      <inputCells r="L21" val="Clara Bennett"/>
      <inputCells r="L22" val="Evelyn Hart"/>
      <inputCells r="L25" val="Chloe Martin"/>
      <inputCells r="L26" val="James Whitmore"/>
      <inputCells r="L27" val="Ryan Carter"/>
      <inputCells r="L28" val="Clara Bennett"/>
      <inputCells r="L29" val="Teddy Smith"/>
      <inputCells r="L32" val="Priya Sharma"/>
      <inputCells r="L33" val="Max Patel"/>
      <inputCells r="L34" val="Adam Kowalski"/>
      <inputCells r="L35" val="Evelyn Hart"/>
      <inputCells r="L36" val="Clara Bennett"/>
      <inputCells r="L39" val="Adam Kowalski"/>
      <inputCells r="L40" val="Hannah Fletcher"/>
      <inputCells r="L41" val="Evelyn Hart"/>
      <inputCells r="L42" val="Priya Sharma"/>
      <inputCells r="L43" val="Liam Gardner"/>
    </scenario>
  </scenarios>
  <mergeCells count="3">
    <mergeCell ref="E1:F1"/>
    <mergeCell ref="G1:H1"/>
    <mergeCell ref="T13:U13"/>
  </mergeCells>
  <phoneticPr fontId="3" type="noConversion"/>
  <conditionalFormatting sqref="B3:B8 B10:B15 B17:B22 B24:B29 B31:B36 B38:B43 B45:C50 B52:B57 B59:B64 B66:B71 B73:B78 B80:B85 B87:B92">
    <cfRule type="duplicateValues" dxfId="33" priority="7"/>
  </conditionalFormatting>
  <conditionalFormatting sqref="H4:H92">
    <cfRule type="expression" dxfId="32" priority="6">
      <formula>AND(NOT(ISNUMBER(H4)),I4=1)</formula>
    </cfRule>
  </conditionalFormatting>
  <conditionalFormatting sqref="L4:L92">
    <cfRule type="expression" dxfId="31" priority="162">
      <formula>IF(R4,TRUE,FALSE)</formula>
    </cfRule>
  </conditionalFormatting>
  <conditionalFormatting sqref="O1:O1048576">
    <cfRule type="expression" dxfId="30" priority="8">
      <formula>AND(ISNUMBER(O1), O1&gt;0)</formula>
    </cfRule>
  </conditionalFormatting>
  <conditionalFormatting sqref="T15">
    <cfRule type="expression" dxfId="29" priority="3">
      <formula>$Q$8</formula>
    </cfRule>
  </conditionalFormatting>
  <conditionalFormatting sqref="T17:X28 X29:X30 T29:W138">
    <cfRule type="expression" dxfId="28" priority="1">
      <formula>ISERROR(T17)</formula>
    </cfRule>
    <cfRule type="expression" dxfId="27" priority="2">
      <formula>T17&lt;&gt;""</formula>
    </cfRule>
  </conditionalFormatting>
  <conditionalFormatting sqref="V17:V19">
    <cfRule type="expression" dxfId="26" priority="4">
      <formula>V17=""</formula>
    </cfRule>
  </conditionalFormatting>
  <conditionalFormatting sqref="V17:X19">
    <cfRule type="expression" dxfId="25" priority="5">
      <formula>ISNUM(V18)</formula>
    </cfRule>
  </conditionalFormatting>
  <dataValidations count="5">
    <dataValidation type="list" allowBlank="1" showInputMessage="1" showErrorMessage="1" sqref="I4:I8 I11:I15 I25:I29 I18:I22 I39:I43 I88:I92 I32:I36 I53:I57 I46:I50 I67:I71 I74:I78 I81:I85 I60:I64" xr:uid="{CE770CCC-9528-432D-9904-3FDF467E81A7}">
      <formula1>PCT</formula1>
    </dataValidation>
    <dataValidation type="list" allowBlank="1" showInputMessage="1" showErrorMessage="1" sqref="L11:L15 L88:L92 L74:L78 L81:L85 L60:L64 L67:L71 L46:L50 L53:L57 L32:L36 L39:L43 L18:L22 L25:L29 L4:L8" xr:uid="{DF3D0EDA-6F0B-4C6A-B460-0D4529CB71ED}">
      <formula1>INDIRECT($Q4)</formula1>
    </dataValidation>
    <dataValidation type="list" allowBlank="1" showInputMessage="1" showErrorMessage="1" sqref="M4:M8 M11:M15 M18:M22 M25:M29 M32:M36 M39:M43 M46:M50 M53:M57 M60:M64 M67:M71 M74:M78 M81:M85 M88:M92" xr:uid="{F5026410-88B2-4C94-8192-0C35551BE365}">
      <formula1>Used_Roles</formula1>
    </dataValidation>
    <dataValidation type="list" allowBlank="1" showInputMessage="1" showErrorMessage="1" sqref="T15" xr:uid="{C75662C6-A093-4130-96E0-0333D1720D02}">
      <formula1>Used_ref</formula1>
    </dataValidation>
    <dataValidation type="whole" showInputMessage="1" showErrorMessage="1" errorTitle="Min 1 and Max 21" error="Min 1 and Max 21" promptTitle="Days to check" prompt="How many days to check prior to start date. Min 1 days and Max of 21 days" sqref="W13" xr:uid="{3C1B4AB5-ADE6-40A1-8F90-09949C4BE379}">
      <formula1>1</formula1>
      <formula2>21</formula2>
    </dataValidation>
  </dataValidations>
  <pageMargins left="0.7" right="0.7" top="0.75" bottom="0.75" header="0.3" footer="0.3"/>
  <ignoredErrors>
    <ignoredError sqref="E3:E4 E30 E44 E23 E9 E16 E37 E51 E58 E65 E72 E79 E86 E93" calculatedColumn="1"/>
  </ignoredErrors>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7B6C3-5E77-46AD-9196-50DC096C5C98}">
  <sheetPr codeName="Sheet4"/>
  <dimension ref="A1:Q334"/>
  <sheetViews>
    <sheetView zoomScale="120" zoomScaleNormal="120" workbookViewId="0">
      <selection activeCell="D6" sqref="D6"/>
    </sheetView>
  </sheetViews>
  <sheetFormatPr defaultRowHeight="15" x14ac:dyDescent="0.25"/>
  <cols>
    <col min="1" max="1" width="2.42578125" customWidth="1"/>
    <col min="2" max="2" width="16.140625" bestFit="1" customWidth="1"/>
    <col min="3" max="3" width="1.5703125" customWidth="1"/>
    <col min="4" max="4" width="47" customWidth="1"/>
    <col min="5" max="5" width="5.85546875" bestFit="1" customWidth="1"/>
    <col min="6" max="6" width="13.140625" customWidth="1"/>
    <col min="7" max="7" width="14.42578125" bestFit="1" customWidth="1"/>
    <col min="8" max="8" width="9.140625" style="12" bestFit="1" customWidth="1"/>
    <col min="9" max="9" width="6.85546875" style="12" bestFit="1" customWidth="1"/>
    <col min="10" max="10" width="8.42578125" style="12" bestFit="1" customWidth="1"/>
    <col min="11" max="11" width="4.42578125" bestFit="1" customWidth="1"/>
    <col min="12" max="12" width="1.5703125" customWidth="1"/>
    <col min="13" max="13" width="18.42578125" bestFit="1" customWidth="1"/>
    <col min="14" max="14" width="17.5703125" customWidth="1"/>
    <col min="15" max="15" width="37.5703125" bestFit="1" customWidth="1"/>
    <col min="16" max="16" width="11.42578125" bestFit="1" customWidth="1"/>
    <col min="17" max="17" width="0.85546875" hidden="1" customWidth="1"/>
  </cols>
  <sheetData>
    <row r="1" spans="1:17" s="119" customFormat="1" ht="32.25" thickBot="1" x14ac:dyDescent="0.35">
      <c r="A1" s="125"/>
      <c r="B1" s="212" t="s">
        <v>385</v>
      </c>
      <c r="C1" s="14"/>
      <c r="D1" s="212" t="s">
        <v>140</v>
      </c>
      <c r="E1" s="14"/>
      <c r="F1" s="211" t="s">
        <v>142</v>
      </c>
      <c r="H1" s="184"/>
      <c r="I1" s="184"/>
      <c r="J1" s="184"/>
    </row>
    <row r="2" spans="1:17" x14ac:dyDescent="0.25">
      <c r="B2" s="172" t="s">
        <v>384</v>
      </c>
      <c r="C2" s="148"/>
      <c r="D2" s="149" t="s">
        <v>304</v>
      </c>
      <c r="E2" s="148"/>
      <c r="F2" s="150">
        <v>45663</v>
      </c>
    </row>
    <row r="3" spans="1:17" ht="5.0999999999999996" customHeight="1" x14ac:dyDescent="0.25"/>
    <row r="4" spans="1:17" ht="5.45" customHeight="1" thickBot="1" x14ac:dyDescent="0.3"/>
    <row r="5" spans="1:17" ht="16.5" thickBot="1" x14ac:dyDescent="0.3">
      <c r="D5" s="210" t="s">
        <v>391</v>
      </c>
    </row>
    <row r="6" spans="1:17" x14ac:dyDescent="0.25">
      <c r="D6" s="209" t="s">
        <v>109</v>
      </c>
      <c r="I6" s="407" t="str" cm="1">
        <f t="array" ref="I6">IFERROR(_xlfn.UNIQUE(_xlfn._xlws.FILTER(tbl_staff_list[RoleRef],tbl_staff_list[Role]=$D$6,),,),"")</f>
        <v>RoleRef_5</v>
      </c>
      <c r="N6" s="179"/>
    </row>
    <row r="7" spans="1:17" ht="8.1" customHeight="1" thickBot="1" x14ac:dyDescent="0.3"/>
    <row r="8" spans="1:17" ht="16.5" thickBot="1" x14ac:dyDescent="0.3">
      <c r="B8" s="204" t="s">
        <v>363</v>
      </c>
      <c r="C8" s="18"/>
      <c r="D8" s="205" t="s">
        <v>354</v>
      </c>
      <c r="E8" s="206" t="s">
        <v>55</v>
      </c>
      <c r="F8" s="207" t="s">
        <v>6</v>
      </c>
      <c r="G8" s="207" t="s">
        <v>28</v>
      </c>
      <c r="H8" s="207" t="s">
        <v>369</v>
      </c>
      <c r="I8" s="207" t="s">
        <v>368</v>
      </c>
      <c r="J8" s="207" t="s">
        <v>375</v>
      </c>
      <c r="K8" s="208" t="s">
        <v>373</v>
      </c>
      <c r="L8" s="18"/>
      <c r="M8" s="499" t="s">
        <v>376</v>
      </c>
      <c r="N8" s="500"/>
      <c r="O8" s="408" t="str">
        <f>IF(Q8,"*Re-select Task Ref","How many days prior to start date to check:")</f>
        <v>*Re-select Task Ref</v>
      </c>
      <c r="P8" s="193">
        <v>21</v>
      </c>
      <c r="Q8" s="189">
        <f>IF(ISNUMBER(MATCH(M10,F9:F30,0)),0,1)</f>
        <v>1</v>
      </c>
    </row>
    <row r="9" spans="1:17" ht="15.75" x14ac:dyDescent="0.25">
      <c r="B9" s="404" t="str" cm="1">
        <f t="array" aca="1" ref="B9" ca="1">INDIRECT($I$6)</f>
        <v>No Staff Assigned</v>
      </c>
      <c r="D9" s="405" t="str" cm="1">
        <f t="array" ref="D9:J10">_xlfn._xlws.FILTER(
    CHOOSE(
        {1,2,3,4,5,6,7},
        tbl_AssignRole[Desc],
        tbl_AssignRole[Done],
        tbl_AssignRole[Ref],
        tbl_AssignRole[Assigned],
        tbl_AssignRole[Est],
        tbl_AssignRole[Actual],
        tbl_AssignRole[Elapse]
    ),
    ISNUMBER(SEARCH(D6, tbl_AssignRole[Role])),
    "No match"
)</f>
        <v>Full UAT deployment</v>
      </c>
      <c r="E9" s="180">
        <v>0</v>
      </c>
      <c r="F9" s="12" t="str">
        <v>4.2.1</v>
      </c>
      <c r="G9" s="105" t="str">
        <v>Connor Reed</v>
      </c>
      <c r="H9" s="12">
        <v>5</v>
      </c>
      <c r="I9" s="183">
        <v>5</v>
      </c>
      <c r="J9" s="12">
        <v>9</v>
      </c>
      <c r="K9" s="406">
        <f t="shared" ref="K9:K11" si="0">IFERROR(IF(AND(E9=1,D9&lt;&gt;""),I9-H9,IF(D9&lt;&gt;"",0,"")),"-")</f>
        <v>0</v>
      </c>
      <c r="M9" s="104" t="s">
        <v>377</v>
      </c>
      <c r="N9" s="104" t="s">
        <v>28</v>
      </c>
      <c r="O9" s="169" t="s">
        <v>378</v>
      </c>
      <c r="P9" s="104" t="s">
        <v>379</v>
      </c>
      <c r="Q9" s="170"/>
    </row>
    <row r="10" spans="1:17" x14ac:dyDescent="0.25">
      <c r="D10" s="105" t="str">
        <v>Full PRE-PROD deployment</v>
      </c>
      <c r="E10" s="181">
        <v>0</v>
      </c>
      <c r="F10" s="12" t="str">
        <v>4.3.1</v>
      </c>
      <c r="G10" s="105" t="str">
        <v>Connor Reed</v>
      </c>
      <c r="H10" s="12">
        <v>3</v>
      </c>
      <c r="I10" s="183">
        <v>3</v>
      </c>
      <c r="J10" s="12">
        <v>3</v>
      </c>
      <c r="K10" s="406">
        <f t="shared" si="0"/>
        <v>0</v>
      </c>
      <c r="M10" s="175" t="s">
        <v>195</v>
      </c>
      <c r="N10" s="409" t="str">
        <f>_xlfn.XLOOKUP(M10,tbl_AssignRole[Ref],tbl_AssignRole[Assigned],"None")</f>
        <v>Clara Bennett</v>
      </c>
      <c r="O10" s="331" cm="1">
        <f t="array" ref="O10:P10">_xlfn.XLOOKUP(M10,tbl_AssignRole[Ref],tbl_AssignRole[Start_date]:tbl_AssignRole[End_Date],"None")</f>
        <v>45716</v>
      </c>
      <c r="P10" s="176">
        <v>45722</v>
      </c>
      <c r="Q10" s="171"/>
    </row>
    <row r="11" spans="1:17" ht="15.75" x14ac:dyDescent="0.25">
      <c r="D11" s="105"/>
      <c r="E11" s="181"/>
      <c r="F11" s="12"/>
      <c r="G11" s="105"/>
      <c r="I11" s="183"/>
      <c r="K11" s="406" t="str">
        <f t="shared" si="0"/>
        <v/>
      </c>
      <c r="M11" s="104" t="s">
        <v>7</v>
      </c>
      <c r="N11" s="104" t="s">
        <v>380</v>
      </c>
      <c r="O11" s="104" t="s">
        <v>27</v>
      </c>
      <c r="P11" s="104"/>
      <c r="Q11" s="170"/>
    </row>
    <row r="12" spans="1:17" x14ac:dyDescent="0.25">
      <c r="D12" s="105"/>
      <c r="E12" s="181"/>
      <c r="F12" s="12"/>
      <c r="G12" s="105"/>
      <c r="I12" s="183"/>
      <c r="K12" s="406" t="str">
        <f>IFERROR(IF(AND(E12=1,D12&lt;&gt;""),I12-H12,IF(D12&lt;&gt;"",0,"")),"-")</f>
        <v/>
      </c>
      <c r="M12" s="329" t="str" cm="1">
        <f t="array" ref="M12">IF(
    Q8,
    "",
    _xlfn._xlws.SORT(
        _xlfn.VSTACK(
            IFERROR(
                _xlfn._xlws.FILTER(
                    CHOOSE({1,2,3}, tbl_staff_holidays[Date], tbl_staff_holidays[Type], IF(tbl_staff_holidays[Note] = "", "", tbl_staff_holidays[Note])),
                    (tbl_staff_holidays[Staff] = N10) *
                    (tbl_staff_holidays[Date] &gt;= (O10 - P8)) *
                    (tbl_staff_holidays[Date] &lt;= P10)
                ),
                "1-No Staff Holidays"
            ),
            IFERROR(
                _xlfn._xlws.FILTER(
                    CHOOSE({1,2}, tbl_bank_holidays[Date], tbl_bank_holidays[Title]),
                    (tbl_bank_holidays[Date] &gt;= (O10 - P8)) *
                    (tbl_bank_holidays[Date] &lt;= P10)
                ),
                "2-No Bank Holidays"
            )
        ),
        1, TRUE
    )
)</f>
        <v/>
      </c>
      <c r="N12" s="11"/>
      <c r="O12" s="11"/>
      <c r="P12" s="11"/>
      <c r="Q12" s="11"/>
    </row>
    <row r="13" spans="1:17" x14ac:dyDescent="0.25">
      <c r="D13" s="105"/>
      <c r="E13" s="181"/>
      <c r="F13" s="12"/>
      <c r="G13" s="105"/>
      <c r="I13" s="183"/>
      <c r="K13" s="406" t="str">
        <f t="shared" ref="K13:K14" si="1">IFERROR(IF(AND(E13=1,D13&lt;&gt;""),I13-H13,IF(D13&lt;&gt;"",0,"")),"-")</f>
        <v/>
      </c>
      <c r="M13" s="161"/>
      <c r="N13" s="11"/>
      <c r="O13" s="11"/>
      <c r="P13" s="11"/>
      <c r="Q13" s="11"/>
    </row>
    <row r="14" spans="1:17" x14ac:dyDescent="0.25">
      <c r="E14" s="160"/>
      <c r="F14" s="12"/>
      <c r="I14" s="183"/>
      <c r="K14" s="406" t="str">
        <f t="shared" si="1"/>
        <v/>
      </c>
      <c r="M14" s="162"/>
      <c r="N14" s="11"/>
      <c r="O14" s="11"/>
      <c r="P14" s="11"/>
      <c r="Q14" s="11"/>
    </row>
    <row r="15" spans="1:17" x14ac:dyDescent="0.25">
      <c r="E15" s="160"/>
      <c r="F15" s="12"/>
      <c r="K15" s="406" t="str">
        <f t="shared" ref="K15:K30" si="2">IF(AND(E15=1,D15&lt;&gt;""),I15-H15,IF(D15&lt;&gt;"",0,""))</f>
        <v/>
      </c>
      <c r="L15" s="1"/>
      <c r="M15" s="163"/>
      <c r="N15" s="11"/>
      <c r="O15" s="11"/>
      <c r="P15" s="11"/>
      <c r="Q15" s="11"/>
    </row>
    <row r="16" spans="1:17" x14ac:dyDescent="0.25">
      <c r="E16" s="160"/>
      <c r="F16" s="12"/>
      <c r="K16" s="406" t="str">
        <f t="shared" si="2"/>
        <v/>
      </c>
      <c r="L16" s="1"/>
      <c r="M16" s="163"/>
      <c r="N16" s="11"/>
      <c r="O16" s="11"/>
      <c r="P16" s="11"/>
      <c r="Q16" s="11"/>
    </row>
    <row r="17" spans="5:17" x14ac:dyDescent="0.25">
      <c r="E17" s="160"/>
      <c r="F17" s="12"/>
      <c r="K17" s="406" t="str">
        <f t="shared" si="2"/>
        <v/>
      </c>
      <c r="M17" s="163"/>
      <c r="N17" s="11"/>
      <c r="O17" s="11"/>
      <c r="P17" s="163"/>
      <c r="Q17" s="11"/>
    </row>
    <row r="18" spans="5:17" x14ac:dyDescent="0.25">
      <c r="E18" s="160"/>
      <c r="F18" s="12"/>
      <c r="K18" s="406" t="str">
        <f t="shared" si="2"/>
        <v/>
      </c>
      <c r="M18" s="163"/>
      <c r="N18" s="11"/>
      <c r="O18" s="11"/>
      <c r="P18" s="163"/>
      <c r="Q18" s="11"/>
    </row>
    <row r="19" spans="5:17" x14ac:dyDescent="0.25">
      <c r="E19" s="160"/>
      <c r="F19" s="12"/>
      <c r="K19" s="406" t="str">
        <f t="shared" si="2"/>
        <v/>
      </c>
      <c r="M19" s="163"/>
      <c r="N19" s="11"/>
      <c r="O19" s="11"/>
      <c r="P19" s="163"/>
      <c r="Q19" s="11"/>
    </row>
    <row r="20" spans="5:17" x14ac:dyDescent="0.25">
      <c r="E20" s="160"/>
      <c r="F20" s="12"/>
      <c r="K20" s="406" t="str">
        <f t="shared" si="2"/>
        <v/>
      </c>
      <c r="M20" s="163"/>
      <c r="N20" s="11"/>
      <c r="O20" s="11"/>
      <c r="P20" s="163"/>
      <c r="Q20" s="11"/>
    </row>
    <row r="21" spans="5:17" x14ac:dyDescent="0.25">
      <c r="E21" s="160"/>
      <c r="F21" s="12"/>
      <c r="K21" s="406" t="str">
        <f t="shared" si="2"/>
        <v/>
      </c>
      <c r="M21" s="163"/>
      <c r="N21" s="11"/>
      <c r="O21" s="11"/>
      <c r="P21" s="163"/>
      <c r="Q21" s="11"/>
    </row>
    <row r="22" spans="5:17" x14ac:dyDescent="0.25">
      <c r="E22" s="160"/>
      <c r="F22" s="12"/>
      <c r="K22" s="406" t="str">
        <f t="shared" si="2"/>
        <v/>
      </c>
      <c r="M22" s="163"/>
      <c r="N22" s="11"/>
      <c r="O22" s="11"/>
      <c r="P22" s="163"/>
      <c r="Q22" s="11"/>
    </row>
    <row r="23" spans="5:17" x14ac:dyDescent="0.25">
      <c r="E23" s="160"/>
      <c r="F23" s="12"/>
      <c r="K23" s="406" t="str">
        <f t="shared" si="2"/>
        <v/>
      </c>
      <c r="M23" s="163"/>
      <c r="N23" s="11"/>
      <c r="O23" s="163"/>
      <c r="P23" s="11"/>
      <c r="Q23" s="11"/>
    </row>
    <row r="24" spans="5:17" x14ac:dyDescent="0.25">
      <c r="E24" s="160"/>
      <c r="F24" s="12"/>
      <c r="K24" s="406" t="str">
        <f t="shared" si="2"/>
        <v/>
      </c>
      <c r="M24" s="163"/>
      <c r="N24" s="11"/>
      <c r="O24" s="11"/>
      <c r="P24" s="163"/>
    </row>
    <row r="25" spans="5:17" x14ac:dyDescent="0.25">
      <c r="E25" s="160"/>
      <c r="F25" s="12"/>
      <c r="K25" s="406" t="str">
        <f t="shared" si="2"/>
        <v/>
      </c>
      <c r="M25" s="163"/>
      <c r="N25" s="11"/>
      <c r="O25" s="11"/>
      <c r="P25" s="163"/>
    </row>
    <row r="26" spans="5:17" x14ac:dyDescent="0.25">
      <c r="E26" s="160"/>
      <c r="F26" s="12"/>
      <c r="K26" s="406" t="str">
        <f t="shared" si="2"/>
        <v/>
      </c>
      <c r="M26" s="163"/>
      <c r="N26" s="11"/>
      <c r="O26" s="11"/>
      <c r="P26" s="163"/>
    </row>
    <row r="27" spans="5:17" x14ac:dyDescent="0.25">
      <c r="E27" s="160"/>
      <c r="F27" s="12"/>
      <c r="K27" s="406" t="str">
        <f t="shared" si="2"/>
        <v/>
      </c>
      <c r="M27" s="163"/>
      <c r="N27" s="11"/>
      <c r="O27" s="11"/>
      <c r="P27" s="163"/>
    </row>
    <row r="28" spans="5:17" x14ac:dyDescent="0.25">
      <c r="E28" s="160"/>
      <c r="F28" s="12"/>
      <c r="K28" s="406" t="str">
        <f t="shared" si="2"/>
        <v/>
      </c>
      <c r="M28" s="163"/>
      <c r="N28" s="11"/>
      <c r="O28" s="11"/>
      <c r="P28" s="163"/>
    </row>
    <row r="29" spans="5:17" x14ac:dyDescent="0.25">
      <c r="E29" s="160"/>
      <c r="F29" s="12"/>
      <c r="K29" s="406" t="str">
        <f t="shared" si="2"/>
        <v/>
      </c>
      <c r="M29" s="163"/>
      <c r="N29" s="11"/>
      <c r="O29" s="11"/>
      <c r="P29" s="163"/>
    </row>
    <row r="30" spans="5:17" x14ac:dyDescent="0.25">
      <c r="E30" s="160"/>
      <c r="F30" s="12"/>
      <c r="K30" s="406" t="str">
        <f t="shared" si="2"/>
        <v/>
      </c>
      <c r="M30" s="163"/>
      <c r="N30" s="11"/>
      <c r="O30" s="11"/>
      <c r="P30" s="163"/>
    </row>
    <row r="31" spans="5:17" x14ac:dyDescent="0.25">
      <c r="F31" s="12"/>
      <c r="M31" s="163"/>
      <c r="N31" s="11"/>
      <c r="O31" s="11"/>
      <c r="P31" s="163"/>
    </row>
    <row r="32" spans="5:17" x14ac:dyDescent="0.25">
      <c r="F32" s="12"/>
      <c r="M32" s="163"/>
      <c r="N32" s="11"/>
      <c r="O32" s="11"/>
      <c r="P32" s="163"/>
    </row>
    <row r="33" spans="6:16" x14ac:dyDescent="0.25">
      <c r="F33" s="12"/>
      <c r="M33" s="163"/>
      <c r="N33" s="11"/>
      <c r="O33" s="11"/>
      <c r="P33" s="163"/>
    </row>
    <row r="34" spans="6:16" x14ac:dyDescent="0.25">
      <c r="F34" s="12"/>
      <c r="M34" s="163"/>
      <c r="N34" s="11"/>
      <c r="O34" s="11"/>
      <c r="P34" s="163"/>
    </row>
    <row r="35" spans="6:16" x14ac:dyDescent="0.25">
      <c r="F35" s="12"/>
      <c r="M35" s="163"/>
      <c r="N35" s="11"/>
      <c r="O35" s="11"/>
      <c r="P35" s="163"/>
    </row>
    <row r="36" spans="6:16" x14ac:dyDescent="0.25">
      <c r="F36" s="12"/>
      <c r="M36" s="163"/>
      <c r="N36" s="11"/>
      <c r="O36" s="11"/>
      <c r="P36" s="163"/>
    </row>
    <row r="37" spans="6:16" x14ac:dyDescent="0.25">
      <c r="F37" s="12"/>
      <c r="M37" s="163"/>
      <c r="N37" s="11"/>
      <c r="O37" s="11"/>
      <c r="P37" s="163"/>
    </row>
    <row r="38" spans="6:16" x14ac:dyDescent="0.25">
      <c r="F38" s="12"/>
      <c r="M38" s="163"/>
      <c r="N38" s="11"/>
      <c r="O38" s="11"/>
      <c r="P38" s="163"/>
    </row>
    <row r="39" spans="6:16" x14ac:dyDescent="0.25">
      <c r="F39" s="12"/>
      <c r="M39" s="163"/>
      <c r="N39" s="11"/>
      <c r="O39" s="11"/>
      <c r="P39" s="163"/>
    </row>
    <row r="40" spans="6:16" x14ac:dyDescent="0.25">
      <c r="F40" s="12"/>
      <c r="M40" s="163"/>
      <c r="N40" s="11"/>
      <c r="O40" s="11"/>
      <c r="P40" s="163"/>
    </row>
    <row r="41" spans="6:16" x14ac:dyDescent="0.25">
      <c r="F41" s="12"/>
      <c r="M41" s="163"/>
      <c r="N41" s="11"/>
      <c r="O41" s="11"/>
      <c r="P41" s="163"/>
    </row>
    <row r="42" spans="6:16" x14ac:dyDescent="0.25">
      <c r="F42" s="12"/>
      <c r="M42" s="163"/>
      <c r="N42" s="11"/>
      <c r="O42" s="11"/>
      <c r="P42" s="163"/>
    </row>
    <row r="43" spans="6:16" x14ac:dyDescent="0.25">
      <c r="F43" s="12"/>
      <c r="M43" s="163"/>
      <c r="N43" s="11"/>
      <c r="O43" s="11"/>
      <c r="P43" s="163"/>
    </row>
    <row r="44" spans="6:16" x14ac:dyDescent="0.25">
      <c r="F44" s="12"/>
      <c r="M44" s="163"/>
      <c r="N44" s="11"/>
      <c r="O44" s="11"/>
      <c r="P44" s="163"/>
    </row>
    <row r="45" spans="6:16" x14ac:dyDescent="0.25">
      <c r="F45" s="12"/>
      <c r="M45" s="163"/>
      <c r="N45" s="11"/>
      <c r="O45" s="11"/>
      <c r="P45" s="163"/>
    </row>
    <row r="46" spans="6:16" x14ac:dyDescent="0.25">
      <c r="F46" s="12"/>
      <c r="M46" s="163"/>
      <c r="N46" s="11"/>
      <c r="O46" s="11"/>
      <c r="P46" s="163"/>
    </row>
    <row r="47" spans="6:16" x14ac:dyDescent="0.25">
      <c r="F47" s="12"/>
      <c r="M47" s="163"/>
      <c r="N47" s="11"/>
      <c r="O47" s="11"/>
      <c r="P47" s="163"/>
    </row>
    <row r="48" spans="6:16" x14ac:dyDescent="0.25">
      <c r="F48" s="12"/>
      <c r="M48" s="163"/>
      <c r="N48" s="11"/>
      <c r="O48" s="11"/>
      <c r="P48" s="163"/>
    </row>
    <row r="49" spans="6:16" x14ac:dyDescent="0.25">
      <c r="F49" s="12"/>
      <c r="M49" s="163"/>
      <c r="N49" s="11"/>
      <c r="O49" s="11"/>
      <c r="P49" s="163"/>
    </row>
    <row r="50" spans="6:16" x14ac:dyDescent="0.25">
      <c r="F50" s="12"/>
      <c r="M50" s="163"/>
      <c r="N50" s="11"/>
      <c r="O50" s="11"/>
      <c r="P50" s="163"/>
    </row>
    <row r="51" spans="6:16" x14ac:dyDescent="0.25">
      <c r="F51" s="12"/>
      <c r="M51" s="163"/>
      <c r="N51" s="11"/>
      <c r="O51" s="11"/>
      <c r="P51" s="163"/>
    </row>
    <row r="52" spans="6:16" x14ac:dyDescent="0.25">
      <c r="F52" s="12"/>
      <c r="M52" s="163"/>
      <c r="N52" s="11"/>
      <c r="O52" s="11"/>
      <c r="P52" s="163"/>
    </row>
    <row r="53" spans="6:16" x14ac:dyDescent="0.25">
      <c r="F53" s="12"/>
      <c r="M53" s="163"/>
      <c r="N53" s="11"/>
      <c r="O53" s="11"/>
      <c r="P53" s="163"/>
    </row>
    <row r="54" spans="6:16" x14ac:dyDescent="0.25">
      <c r="F54" s="12"/>
      <c r="M54" s="163"/>
      <c r="N54" s="11"/>
      <c r="O54" s="11"/>
      <c r="P54" s="163"/>
    </row>
    <row r="55" spans="6:16" x14ac:dyDescent="0.25">
      <c r="F55" s="12"/>
      <c r="M55" s="163"/>
      <c r="N55" s="11"/>
      <c r="O55" s="11"/>
      <c r="P55" s="163"/>
    </row>
    <row r="56" spans="6:16" x14ac:dyDescent="0.25">
      <c r="F56" s="12"/>
      <c r="M56" s="163"/>
      <c r="N56" s="11"/>
      <c r="O56" s="11"/>
      <c r="P56" s="163"/>
    </row>
    <row r="57" spans="6:16" x14ac:dyDescent="0.25">
      <c r="F57" s="12"/>
      <c r="M57" s="163"/>
      <c r="N57" s="11"/>
      <c r="O57" s="11"/>
      <c r="P57" s="163"/>
    </row>
    <row r="58" spans="6:16" x14ac:dyDescent="0.25">
      <c r="F58" s="12"/>
      <c r="M58" s="163"/>
      <c r="N58" s="11"/>
      <c r="O58" s="11"/>
      <c r="P58" s="163"/>
    </row>
    <row r="59" spans="6:16" x14ac:dyDescent="0.25">
      <c r="F59" s="12"/>
      <c r="M59" s="163"/>
      <c r="N59" s="11"/>
      <c r="O59" s="11"/>
      <c r="P59" s="163"/>
    </row>
    <row r="60" spans="6:16" x14ac:dyDescent="0.25">
      <c r="F60" s="12"/>
      <c r="M60" s="163"/>
      <c r="N60" s="11"/>
      <c r="O60" s="11"/>
      <c r="P60" s="163"/>
    </row>
    <row r="61" spans="6:16" x14ac:dyDescent="0.25">
      <c r="F61" s="12"/>
      <c r="M61" s="163"/>
      <c r="N61" s="11"/>
      <c r="O61" s="11"/>
      <c r="P61" s="163"/>
    </row>
    <row r="62" spans="6:16" x14ac:dyDescent="0.25">
      <c r="F62" s="12"/>
      <c r="M62" s="163"/>
      <c r="N62" s="11"/>
      <c r="O62" s="11"/>
      <c r="P62" s="163"/>
    </row>
    <row r="63" spans="6:16" x14ac:dyDescent="0.25">
      <c r="F63" s="12"/>
      <c r="M63" s="163"/>
      <c r="N63" s="11"/>
      <c r="O63" s="11"/>
      <c r="P63" s="163"/>
    </row>
    <row r="64" spans="6:16" x14ac:dyDescent="0.25">
      <c r="F64" s="12"/>
      <c r="M64" s="163"/>
      <c r="N64" s="11"/>
      <c r="O64" s="11"/>
      <c r="P64" s="163"/>
    </row>
    <row r="65" spans="6:16" x14ac:dyDescent="0.25">
      <c r="F65" s="12"/>
      <c r="M65" s="163"/>
      <c r="N65" s="11"/>
      <c r="O65" s="11"/>
      <c r="P65" s="163"/>
    </row>
    <row r="66" spans="6:16" x14ac:dyDescent="0.25">
      <c r="F66" s="12"/>
      <c r="M66" s="163"/>
      <c r="N66" s="11"/>
      <c r="O66" s="11"/>
      <c r="P66" s="163"/>
    </row>
    <row r="67" spans="6:16" x14ac:dyDescent="0.25">
      <c r="F67" s="12"/>
      <c r="M67" s="163"/>
      <c r="N67" s="11"/>
      <c r="O67" s="11"/>
      <c r="P67" s="163"/>
    </row>
    <row r="68" spans="6:16" x14ac:dyDescent="0.25">
      <c r="F68" s="12"/>
      <c r="M68" s="163"/>
      <c r="N68" s="11"/>
      <c r="O68" s="11"/>
      <c r="P68" s="163"/>
    </row>
    <row r="69" spans="6:16" x14ac:dyDescent="0.25">
      <c r="F69" s="12"/>
      <c r="M69" s="163"/>
      <c r="N69" s="11"/>
      <c r="O69" s="11"/>
      <c r="P69" s="163"/>
    </row>
    <row r="70" spans="6:16" x14ac:dyDescent="0.25">
      <c r="F70" s="12"/>
      <c r="M70" s="163"/>
      <c r="N70" s="11"/>
      <c r="O70" s="11"/>
      <c r="P70" s="163"/>
    </row>
    <row r="71" spans="6:16" x14ac:dyDescent="0.25">
      <c r="F71" s="12"/>
      <c r="M71" s="163"/>
      <c r="N71" s="11"/>
      <c r="O71" s="11"/>
      <c r="P71" s="163"/>
    </row>
    <row r="72" spans="6:16" x14ac:dyDescent="0.25">
      <c r="F72" s="12"/>
      <c r="M72" s="163"/>
      <c r="N72" s="11"/>
      <c r="O72" s="11"/>
      <c r="P72" s="163"/>
    </row>
    <row r="73" spans="6:16" x14ac:dyDescent="0.25">
      <c r="F73" s="12"/>
      <c r="M73" s="163"/>
      <c r="N73" s="11"/>
      <c r="O73" s="11"/>
      <c r="P73" s="163"/>
    </row>
    <row r="74" spans="6:16" x14ac:dyDescent="0.25">
      <c r="F74" s="12"/>
      <c r="M74" s="163"/>
      <c r="N74" s="11"/>
      <c r="O74" s="11"/>
      <c r="P74" s="163"/>
    </row>
    <row r="75" spans="6:16" x14ac:dyDescent="0.25">
      <c r="F75" s="12"/>
      <c r="M75" s="163"/>
      <c r="N75" s="11"/>
      <c r="O75" s="11"/>
      <c r="P75" s="163"/>
    </row>
    <row r="76" spans="6:16" x14ac:dyDescent="0.25">
      <c r="F76" s="12"/>
      <c r="M76" s="163"/>
      <c r="N76" s="11"/>
      <c r="O76" s="11"/>
      <c r="P76" s="163"/>
    </row>
    <row r="77" spans="6:16" x14ac:dyDescent="0.25">
      <c r="F77" s="12"/>
      <c r="M77" s="163"/>
      <c r="N77" s="11"/>
      <c r="O77" s="11"/>
      <c r="P77" s="163"/>
    </row>
    <row r="78" spans="6:16" x14ac:dyDescent="0.25">
      <c r="F78" s="12"/>
      <c r="M78" s="163"/>
      <c r="N78" s="11"/>
      <c r="O78" s="11"/>
      <c r="P78" s="163"/>
    </row>
    <row r="79" spans="6:16" x14ac:dyDescent="0.25">
      <c r="F79" s="12"/>
      <c r="M79" s="163"/>
      <c r="N79" s="11"/>
      <c r="O79" s="11"/>
      <c r="P79" s="163"/>
    </row>
    <row r="80" spans="6:16" x14ac:dyDescent="0.25">
      <c r="F80" s="12"/>
      <c r="M80" s="163"/>
      <c r="N80" s="11"/>
      <c r="O80" s="11"/>
      <c r="P80" s="163"/>
    </row>
    <row r="81" spans="6:16" x14ac:dyDescent="0.25">
      <c r="F81" s="12"/>
      <c r="M81" s="163"/>
      <c r="N81" s="11"/>
      <c r="O81" s="11"/>
      <c r="P81" s="163"/>
    </row>
    <row r="82" spans="6:16" x14ac:dyDescent="0.25">
      <c r="F82" s="12"/>
      <c r="M82" s="163"/>
      <c r="N82" s="11"/>
      <c r="O82" s="11"/>
      <c r="P82" s="163"/>
    </row>
    <row r="83" spans="6:16" x14ac:dyDescent="0.25">
      <c r="F83" s="12"/>
      <c r="M83" s="163"/>
      <c r="N83" s="11"/>
      <c r="O83" s="11"/>
      <c r="P83" s="163"/>
    </row>
    <row r="84" spans="6:16" x14ac:dyDescent="0.25">
      <c r="F84" s="12"/>
      <c r="M84" s="163"/>
      <c r="N84" s="11"/>
      <c r="O84" s="11"/>
      <c r="P84" s="163"/>
    </row>
    <row r="85" spans="6:16" x14ac:dyDescent="0.25">
      <c r="F85" s="12"/>
      <c r="M85" s="163"/>
      <c r="N85" s="11"/>
      <c r="O85" s="11"/>
      <c r="P85" s="163"/>
    </row>
    <row r="86" spans="6:16" x14ac:dyDescent="0.25">
      <c r="F86" s="12"/>
      <c r="M86" s="163"/>
      <c r="N86" s="11"/>
      <c r="O86" s="11"/>
      <c r="P86" s="163"/>
    </row>
    <row r="87" spans="6:16" x14ac:dyDescent="0.25">
      <c r="F87" s="12"/>
      <c r="M87" s="163"/>
      <c r="N87" s="11"/>
      <c r="O87" s="11"/>
      <c r="P87" s="163"/>
    </row>
    <row r="88" spans="6:16" x14ac:dyDescent="0.25">
      <c r="F88" s="12"/>
      <c r="M88" s="163"/>
      <c r="N88" s="11"/>
      <c r="O88" s="11"/>
      <c r="P88" s="163"/>
    </row>
    <row r="89" spans="6:16" x14ac:dyDescent="0.25">
      <c r="F89" s="12"/>
      <c r="M89" s="163"/>
      <c r="N89" s="11"/>
      <c r="O89" s="11"/>
      <c r="P89" s="163"/>
    </row>
    <row r="90" spans="6:16" x14ac:dyDescent="0.25">
      <c r="F90" s="12"/>
      <c r="M90" s="163"/>
      <c r="N90" s="11"/>
      <c r="O90" s="11"/>
      <c r="P90" s="163"/>
    </row>
    <row r="91" spans="6:16" x14ac:dyDescent="0.25">
      <c r="F91" s="12"/>
      <c r="M91" s="163"/>
      <c r="N91" s="11"/>
      <c r="O91" s="11"/>
      <c r="P91" s="163"/>
    </row>
    <row r="92" spans="6:16" x14ac:dyDescent="0.25">
      <c r="F92" s="12"/>
      <c r="M92" s="163"/>
      <c r="N92" s="11"/>
      <c r="O92" s="11"/>
      <c r="P92" s="163"/>
    </row>
    <row r="93" spans="6:16" x14ac:dyDescent="0.25">
      <c r="F93" s="12"/>
      <c r="M93" s="163"/>
      <c r="N93" s="11"/>
      <c r="O93" s="11"/>
      <c r="P93" s="163"/>
    </row>
    <row r="94" spans="6:16" x14ac:dyDescent="0.25">
      <c r="F94" s="12"/>
      <c r="M94" s="163"/>
      <c r="N94" s="11"/>
      <c r="O94" s="11"/>
      <c r="P94" s="163"/>
    </row>
    <row r="95" spans="6:16" x14ac:dyDescent="0.25">
      <c r="F95" s="12"/>
      <c r="M95" s="163"/>
      <c r="N95" s="11"/>
      <c r="O95" s="11"/>
      <c r="P95" s="163"/>
    </row>
    <row r="96" spans="6:16" x14ac:dyDescent="0.25">
      <c r="F96" s="12"/>
      <c r="M96" s="163"/>
      <c r="N96" s="11"/>
      <c r="O96" s="11"/>
      <c r="P96" s="163"/>
    </row>
    <row r="97" spans="6:16" x14ac:dyDescent="0.25">
      <c r="F97" s="12"/>
      <c r="M97" s="163"/>
      <c r="N97" s="11"/>
      <c r="O97" s="11"/>
      <c r="P97" s="163"/>
    </row>
    <row r="98" spans="6:16" x14ac:dyDescent="0.25">
      <c r="F98" s="12"/>
      <c r="M98" s="163"/>
      <c r="N98" s="11"/>
      <c r="O98" s="11"/>
      <c r="P98" s="163"/>
    </row>
    <row r="99" spans="6:16" x14ac:dyDescent="0.25">
      <c r="F99" s="12"/>
      <c r="M99" s="163"/>
      <c r="N99" s="11"/>
      <c r="O99" s="11"/>
      <c r="P99" s="163"/>
    </row>
    <row r="100" spans="6:16" x14ac:dyDescent="0.25">
      <c r="F100" s="12"/>
      <c r="M100" s="163"/>
      <c r="N100" s="11"/>
      <c r="O100" s="11"/>
      <c r="P100" s="163"/>
    </row>
    <row r="101" spans="6:16" x14ac:dyDescent="0.25">
      <c r="F101" s="12"/>
      <c r="M101" s="163"/>
      <c r="N101" s="11"/>
      <c r="O101" s="11"/>
      <c r="P101" s="163"/>
    </row>
    <row r="102" spans="6:16" x14ac:dyDescent="0.25">
      <c r="F102" s="12"/>
      <c r="M102" s="163"/>
      <c r="N102" s="11"/>
      <c r="O102" s="11"/>
      <c r="P102" s="163"/>
    </row>
    <row r="103" spans="6:16" x14ac:dyDescent="0.25">
      <c r="F103" s="12"/>
      <c r="M103" s="163"/>
      <c r="N103" s="11"/>
      <c r="O103" s="11"/>
      <c r="P103" s="163"/>
    </row>
    <row r="104" spans="6:16" x14ac:dyDescent="0.25">
      <c r="F104" s="12"/>
      <c r="M104" s="163"/>
      <c r="N104" s="11"/>
      <c r="O104" s="11"/>
      <c r="P104" s="163"/>
    </row>
    <row r="105" spans="6:16" x14ac:dyDescent="0.25">
      <c r="F105" s="12"/>
      <c r="M105" s="163"/>
      <c r="N105" s="11"/>
      <c r="O105" s="11"/>
      <c r="P105" s="163"/>
    </row>
    <row r="106" spans="6:16" x14ac:dyDescent="0.25">
      <c r="F106" s="12"/>
      <c r="M106" s="163"/>
      <c r="N106" s="11"/>
      <c r="O106" s="11"/>
      <c r="P106" s="163"/>
    </row>
    <row r="107" spans="6:16" x14ac:dyDescent="0.25">
      <c r="F107" s="12"/>
      <c r="M107" s="163"/>
      <c r="N107" s="11"/>
      <c r="O107" s="11"/>
      <c r="P107" s="163"/>
    </row>
    <row r="108" spans="6:16" x14ac:dyDescent="0.25">
      <c r="F108" s="12"/>
      <c r="M108" s="163"/>
      <c r="N108" s="11"/>
      <c r="O108" s="11"/>
      <c r="P108" s="163"/>
    </row>
    <row r="109" spans="6:16" x14ac:dyDescent="0.25">
      <c r="F109" s="12"/>
      <c r="M109" s="163"/>
      <c r="N109" s="11"/>
      <c r="O109" s="11"/>
      <c r="P109" s="163"/>
    </row>
    <row r="110" spans="6:16" x14ac:dyDescent="0.25">
      <c r="F110" s="12"/>
      <c r="M110" s="163"/>
      <c r="N110" s="11"/>
      <c r="O110" s="11"/>
      <c r="P110" s="163"/>
    </row>
    <row r="111" spans="6:16" x14ac:dyDescent="0.25">
      <c r="F111" s="12"/>
      <c r="M111" s="163"/>
      <c r="N111" s="11"/>
      <c r="O111" s="11"/>
      <c r="P111" s="163"/>
    </row>
    <row r="112" spans="6:16" x14ac:dyDescent="0.25">
      <c r="F112" s="12"/>
      <c r="M112" s="163"/>
      <c r="N112" s="11"/>
      <c r="O112" s="11"/>
      <c r="P112" s="163"/>
    </row>
    <row r="113" spans="6:16" x14ac:dyDescent="0.25">
      <c r="F113" s="12"/>
      <c r="M113" s="163"/>
      <c r="N113" s="11"/>
      <c r="O113" s="11"/>
      <c r="P113" s="163"/>
    </row>
    <row r="114" spans="6:16" x14ac:dyDescent="0.25">
      <c r="F114" s="12"/>
      <c r="M114" s="163"/>
      <c r="N114" s="11"/>
      <c r="O114" s="11"/>
      <c r="P114" s="163"/>
    </row>
    <row r="115" spans="6:16" x14ac:dyDescent="0.25">
      <c r="F115" s="12"/>
      <c r="M115" s="163"/>
      <c r="N115" s="11"/>
      <c r="O115" s="11"/>
      <c r="P115" s="163"/>
    </row>
    <row r="116" spans="6:16" x14ac:dyDescent="0.25">
      <c r="F116" s="12"/>
      <c r="M116" s="163"/>
      <c r="N116" s="11"/>
      <c r="O116" s="11"/>
      <c r="P116" s="163"/>
    </row>
    <row r="117" spans="6:16" x14ac:dyDescent="0.25">
      <c r="F117" s="12"/>
      <c r="M117" s="163"/>
      <c r="N117" s="11"/>
      <c r="O117" s="11"/>
      <c r="P117" s="163"/>
    </row>
    <row r="118" spans="6:16" x14ac:dyDescent="0.25">
      <c r="F118" s="12"/>
      <c r="M118" s="163"/>
      <c r="N118" s="11"/>
      <c r="O118" s="11"/>
      <c r="P118" s="163"/>
    </row>
    <row r="119" spans="6:16" x14ac:dyDescent="0.25">
      <c r="F119" s="12"/>
      <c r="M119" s="163"/>
      <c r="N119" s="11"/>
      <c r="O119" s="11"/>
      <c r="P119" s="163"/>
    </row>
    <row r="120" spans="6:16" x14ac:dyDescent="0.25">
      <c r="F120" s="12"/>
      <c r="M120" s="163"/>
      <c r="N120" s="11"/>
      <c r="O120" s="11"/>
      <c r="P120" s="163"/>
    </row>
    <row r="121" spans="6:16" x14ac:dyDescent="0.25">
      <c r="F121" s="12"/>
      <c r="M121" s="163"/>
      <c r="N121" s="11"/>
      <c r="O121" s="11"/>
      <c r="P121" s="163"/>
    </row>
    <row r="122" spans="6:16" x14ac:dyDescent="0.25">
      <c r="F122" s="12"/>
      <c r="M122" s="163"/>
      <c r="N122" s="11"/>
      <c r="O122" s="11"/>
      <c r="P122" s="163"/>
    </row>
    <row r="123" spans="6:16" x14ac:dyDescent="0.25">
      <c r="F123" s="12"/>
      <c r="M123" s="163"/>
      <c r="N123" s="11"/>
      <c r="O123" s="11"/>
      <c r="P123" s="163"/>
    </row>
    <row r="124" spans="6:16" x14ac:dyDescent="0.25">
      <c r="F124" s="12"/>
      <c r="M124" s="163"/>
      <c r="N124" s="11"/>
      <c r="O124" s="11"/>
      <c r="P124" s="163"/>
    </row>
    <row r="125" spans="6:16" x14ac:dyDescent="0.25">
      <c r="F125" s="12"/>
      <c r="M125" s="163"/>
      <c r="N125" s="11"/>
      <c r="O125" s="11"/>
      <c r="P125" s="163"/>
    </row>
    <row r="126" spans="6:16" x14ac:dyDescent="0.25">
      <c r="F126" s="12"/>
      <c r="M126" s="163"/>
      <c r="N126" s="11"/>
      <c r="O126" s="11"/>
      <c r="P126" s="163"/>
    </row>
    <row r="127" spans="6:16" x14ac:dyDescent="0.25">
      <c r="F127" s="12"/>
      <c r="M127" s="163"/>
      <c r="N127" s="11"/>
      <c r="O127" s="11"/>
      <c r="P127" s="163"/>
    </row>
    <row r="128" spans="6:16" x14ac:dyDescent="0.25">
      <c r="F128" s="12"/>
      <c r="M128" s="163"/>
      <c r="N128" s="11"/>
      <c r="O128" s="11"/>
      <c r="P128" s="163"/>
    </row>
    <row r="129" spans="6:16" x14ac:dyDescent="0.25">
      <c r="F129" s="12"/>
      <c r="M129" s="163"/>
      <c r="N129" s="11"/>
      <c r="O129" s="11"/>
      <c r="P129" s="163"/>
    </row>
    <row r="130" spans="6:16" x14ac:dyDescent="0.25">
      <c r="F130" s="12"/>
      <c r="M130" s="163"/>
      <c r="N130" s="11"/>
      <c r="O130" s="11"/>
      <c r="P130" s="163"/>
    </row>
    <row r="131" spans="6:16" x14ac:dyDescent="0.25">
      <c r="F131" s="12"/>
      <c r="M131" s="163"/>
      <c r="N131" s="11"/>
      <c r="O131" s="11"/>
      <c r="P131" s="163"/>
    </row>
    <row r="132" spans="6:16" x14ac:dyDescent="0.25">
      <c r="F132" s="12"/>
      <c r="M132" s="163"/>
      <c r="N132" s="11"/>
      <c r="O132" s="11"/>
      <c r="P132" s="163"/>
    </row>
    <row r="133" spans="6:16" x14ac:dyDescent="0.25">
      <c r="F133" s="12"/>
      <c r="M133" s="163"/>
      <c r="N133" s="11"/>
      <c r="O133" s="11"/>
      <c r="P133" s="163"/>
    </row>
    <row r="134" spans="6:16" x14ac:dyDescent="0.25">
      <c r="F134" s="12"/>
    </row>
    <row r="135" spans="6:16" x14ac:dyDescent="0.25">
      <c r="F135" s="12"/>
    </row>
    <row r="136" spans="6:16" x14ac:dyDescent="0.25">
      <c r="F136" s="12"/>
    </row>
    <row r="137" spans="6:16" x14ac:dyDescent="0.25">
      <c r="F137" s="12"/>
    </row>
    <row r="138" spans="6:16" x14ac:dyDescent="0.25">
      <c r="F138" s="12"/>
    </row>
    <row r="139" spans="6:16" x14ac:dyDescent="0.25">
      <c r="F139" s="12"/>
    </row>
    <row r="140" spans="6:16" x14ac:dyDescent="0.25">
      <c r="F140" s="12"/>
    </row>
    <row r="141" spans="6:16" x14ac:dyDescent="0.25">
      <c r="F141" s="12"/>
    </row>
    <row r="142" spans="6:16" x14ac:dyDescent="0.25">
      <c r="F142" s="12"/>
    </row>
    <row r="143" spans="6:16" x14ac:dyDescent="0.25">
      <c r="F143" s="12"/>
    </row>
    <row r="144" spans="6:16" x14ac:dyDescent="0.25">
      <c r="F144" s="12"/>
    </row>
    <row r="145" spans="6:6" x14ac:dyDescent="0.25">
      <c r="F145" s="12"/>
    </row>
    <row r="146" spans="6:6" x14ac:dyDescent="0.25">
      <c r="F146" s="12"/>
    </row>
    <row r="147" spans="6:6" x14ac:dyDescent="0.25">
      <c r="F147" s="12"/>
    </row>
    <row r="148" spans="6:6" x14ac:dyDescent="0.25">
      <c r="F148" s="12"/>
    </row>
    <row r="149" spans="6:6" x14ac:dyDescent="0.25">
      <c r="F149" s="12"/>
    </row>
    <row r="150" spans="6:6" x14ac:dyDescent="0.25">
      <c r="F150" s="12"/>
    </row>
    <row r="151" spans="6:6" x14ac:dyDescent="0.25">
      <c r="F151" s="12"/>
    </row>
    <row r="152" spans="6:6" x14ac:dyDescent="0.25">
      <c r="F152" s="12"/>
    </row>
    <row r="153" spans="6:6" x14ac:dyDescent="0.25">
      <c r="F153" s="12"/>
    </row>
    <row r="154" spans="6:6" x14ac:dyDescent="0.25">
      <c r="F154" s="12"/>
    </row>
    <row r="155" spans="6:6" x14ac:dyDescent="0.25">
      <c r="F155" s="12"/>
    </row>
    <row r="156" spans="6:6" x14ac:dyDescent="0.25">
      <c r="F156" s="12"/>
    </row>
    <row r="157" spans="6:6" x14ac:dyDescent="0.25">
      <c r="F157" s="12"/>
    </row>
    <row r="158" spans="6:6" x14ac:dyDescent="0.25">
      <c r="F158" s="12"/>
    </row>
    <row r="159" spans="6:6" x14ac:dyDescent="0.25">
      <c r="F159" s="12"/>
    </row>
    <row r="160" spans="6:6" x14ac:dyDescent="0.25">
      <c r="F160" s="12"/>
    </row>
    <row r="161" spans="6:6" x14ac:dyDescent="0.25">
      <c r="F161" s="12"/>
    </row>
    <row r="162" spans="6:6" x14ac:dyDescent="0.25">
      <c r="F162" s="12"/>
    </row>
    <row r="163" spans="6:6" x14ac:dyDescent="0.25">
      <c r="F163" s="12"/>
    </row>
    <row r="164" spans="6:6" x14ac:dyDescent="0.25">
      <c r="F164" s="12"/>
    </row>
    <row r="165" spans="6:6" x14ac:dyDescent="0.25">
      <c r="F165" s="12"/>
    </row>
    <row r="166" spans="6:6" x14ac:dyDescent="0.25">
      <c r="F166" s="12"/>
    </row>
    <row r="167" spans="6:6" x14ac:dyDescent="0.25">
      <c r="F167" s="12"/>
    </row>
    <row r="168" spans="6:6" x14ac:dyDescent="0.25">
      <c r="F168" s="12"/>
    </row>
    <row r="169" spans="6:6" x14ac:dyDescent="0.25">
      <c r="F169" s="12"/>
    </row>
    <row r="170" spans="6:6" x14ac:dyDescent="0.25">
      <c r="F170" s="12"/>
    </row>
    <row r="171" spans="6:6" x14ac:dyDescent="0.25">
      <c r="F171" s="12"/>
    </row>
    <row r="172" spans="6:6" x14ac:dyDescent="0.25">
      <c r="F172" s="12"/>
    </row>
    <row r="173" spans="6:6" x14ac:dyDescent="0.25">
      <c r="F173" s="12"/>
    </row>
    <row r="174" spans="6:6" x14ac:dyDescent="0.25">
      <c r="F174" s="12"/>
    </row>
    <row r="175" spans="6:6" x14ac:dyDescent="0.25">
      <c r="F175" s="12"/>
    </row>
    <row r="176" spans="6:6" x14ac:dyDescent="0.25">
      <c r="F176" s="12"/>
    </row>
    <row r="177" spans="6:6" x14ac:dyDescent="0.25">
      <c r="F177" s="12"/>
    </row>
    <row r="178" spans="6:6" x14ac:dyDescent="0.25">
      <c r="F178" s="12"/>
    </row>
    <row r="179" spans="6:6" x14ac:dyDescent="0.25">
      <c r="F179" s="12"/>
    </row>
    <row r="180" spans="6:6" x14ac:dyDescent="0.25">
      <c r="F180" s="12"/>
    </row>
    <row r="181" spans="6:6" x14ac:dyDescent="0.25">
      <c r="F181" s="12"/>
    </row>
    <row r="182" spans="6:6" x14ac:dyDescent="0.25">
      <c r="F182" s="12"/>
    </row>
    <row r="183" spans="6:6" x14ac:dyDescent="0.25">
      <c r="F183" s="12"/>
    </row>
    <row r="184" spans="6:6" x14ac:dyDescent="0.25">
      <c r="F184" s="12"/>
    </row>
    <row r="185" spans="6:6" x14ac:dyDescent="0.25">
      <c r="F185" s="12"/>
    </row>
    <row r="186" spans="6:6" x14ac:dyDescent="0.25">
      <c r="F186" s="12"/>
    </row>
    <row r="187" spans="6:6" x14ac:dyDescent="0.25">
      <c r="F187" s="12"/>
    </row>
    <row r="188" spans="6:6" x14ac:dyDescent="0.25">
      <c r="F188" s="12"/>
    </row>
    <row r="189" spans="6:6" x14ac:dyDescent="0.25">
      <c r="F189" s="12"/>
    </row>
    <row r="190" spans="6:6" x14ac:dyDescent="0.25">
      <c r="F190" s="12"/>
    </row>
    <row r="191" spans="6:6" x14ac:dyDescent="0.25">
      <c r="F191" s="12"/>
    </row>
    <row r="192" spans="6:6" x14ac:dyDescent="0.25">
      <c r="F192" s="12"/>
    </row>
    <row r="193" spans="6:6" x14ac:dyDescent="0.25">
      <c r="F193" s="12"/>
    </row>
    <row r="194" spans="6:6" x14ac:dyDescent="0.25">
      <c r="F194" s="12"/>
    </row>
    <row r="195" spans="6:6" x14ac:dyDescent="0.25">
      <c r="F195" s="12"/>
    </row>
    <row r="196" spans="6:6" x14ac:dyDescent="0.25">
      <c r="F196" s="12"/>
    </row>
    <row r="197" spans="6:6" x14ac:dyDescent="0.25">
      <c r="F197" s="12"/>
    </row>
    <row r="198" spans="6:6" x14ac:dyDescent="0.25">
      <c r="F198" s="12"/>
    </row>
    <row r="199" spans="6:6" x14ac:dyDescent="0.25">
      <c r="F199" s="12"/>
    </row>
    <row r="200" spans="6:6" x14ac:dyDescent="0.25">
      <c r="F200" s="12"/>
    </row>
    <row r="201" spans="6:6" x14ac:dyDescent="0.25">
      <c r="F201" s="12"/>
    </row>
    <row r="202" spans="6:6" x14ac:dyDescent="0.25">
      <c r="F202" s="12"/>
    </row>
    <row r="203" spans="6:6" x14ac:dyDescent="0.25">
      <c r="F203" s="12"/>
    </row>
    <row r="204" spans="6:6" x14ac:dyDescent="0.25">
      <c r="F204" s="12"/>
    </row>
    <row r="205" spans="6:6" x14ac:dyDescent="0.25">
      <c r="F205" s="12"/>
    </row>
    <row r="206" spans="6:6" x14ac:dyDescent="0.25">
      <c r="F206" s="12"/>
    </row>
    <row r="207" spans="6:6" x14ac:dyDescent="0.25">
      <c r="F207" s="12"/>
    </row>
    <row r="208" spans="6:6" x14ac:dyDescent="0.25">
      <c r="F208" s="12"/>
    </row>
    <row r="209" spans="6:6" x14ac:dyDescent="0.25">
      <c r="F209" s="12"/>
    </row>
    <row r="210" spans="6:6" x14ac:dyDescent="0.25">
      <c r="F210" s="12"/>
    </row>
    <row r="211" spans="6:6" x14ac:dyDescent="0.25">
      <c r="F211" s="12"/>
    </row>
    <row r="212" spans="6:6" x14ac:dyDescent="0.25">
      <c r="F212" s="12"/>
    </row>
    <row r="213" spans="6:6" x14ac:dyDescent="0.25">
      <c r="F213" s="12"/>
    </row>
    <row r="214" spans="6:6" x14ac:dyDescent="0.25">
      <c r="F214" s="12"/>
    </row>
    <row r="215" spans="6:6" x14ac:dyDescent="0.25">
      <c r="F215" s="12"/>
    </row>
    <row r="216" spans="6:6" x14ac:dyDescent="0.25">
      <c r="F216" s="12"/>
    </row>
    <row r="217" spans="6:6" x14ac:dyDescent="0.25">
      <c r="F217" s="12"/>
    </row>
    <row r="218" spans="6:6" x14ac:dyDescent="0.25">
      <c r="F218" s="12"/>
    </row>
    <row r="219" spans="6:6" x14ac:dyDescent="0.25">
      <c r="F219" s="12"/>
    </row>
    <row r="220" spans="6:6" x14ac:dyDescent="0.25">
      <c r="F220" s="12"/>
    </row>
    <row r="221" spans="6:6" x14ac:dyDescent="0.25">
      <c r="F221" s="12"/>
    </row>
    <row r="222" spans="6:6" x14ac:dyDescent="0.25">
      <c r="F222" s="12"/>
    </row>
    <row r="223" spans="6:6" x14ac:dyDescent="0.25">
      <c r="F223" s="12"/>
    </row>
    <row r="224" spans="6:6" x14ac:dyDescent="0.25">
      <c r="F224" s="12"/>
    </row>
    <row r="225" spans="6:6" x14ac:dyDescent="0.25">
      <c r="F225" s="12"/>
    </row>
    <row r="226" spans="6:6" x14ac:dyDescent="0.25">
      <c r="F226" s="12"/>
    </row>
    <row r="227" spans="6:6" x14ac:dyDescent="0.25">
      <c r="F227" s="12"/>
    </row>
    <row r="228" spans="6:6" x14ac:dyDescent="0.25">
      <c r="F228" s="12"/>
    </row>
    <row r="229" spans="6:6" x14ac:dyDescent="0.25">
      <c r="F229" s="12"/>
    </row>
    <row r="230" spans="6:6" x14ac:dyDescent="0.25">
      <c r="F230" s="12"/>
    </row>
    <row r="231" spans="6:6" x14ac:dyDescent="0.25">
      <c r="F231" s="12"/>
    </row>
    <row r="232" spans="6:6" x14ac:dyDescent="0.25">
      <c r="F232" s="12"/>
    </row>
    <row r="233" spans="6:6" x14ac:dyDescent="0.25">
      <c r="F233" s="12"/>
    </row>
    <row r="234" spans="6:6" x14ac:dyDescent="0.25">
      <c r="F234" s="12"/>
    </row>
    <row r="235" spans="6:6" x14ac:dyDescent="0.25">
      <c r="F235" s="12"/>
    </row>
    <row r="236" spans="6:6" x14ac:dyDescent="0.25">
      <c r="F236" s="12"/>
    </row>
    <row r="237" spans="6:6" x14ac:dyDescent="0.25">
      <c r="F237" s="12"/>
    </row>
    <row r="238" spans="6:6" x14ac:dyDescent="0.25">
      <c r="F238" s="12"/>
    </row>
    <row r="239" spans="6:6" x14ac:dyDescent="0.25">
      <c r="F239" s="12"/>
    </row>
    <row r="240" spans="6:6" x14ac:dyDescent="0.25">
      <c r="F240" s="12"/>
    </row>
    <row r="241" spans="6:6" x14ac:dyDescent="0.25">
      <c r="F241" s="12"/>
    </row>
    <row r="242" spans="6:6" x14ac:dyDescent="0.25">
      <c r="F242" s="12"/>
    </row>
    <row r="243" spans="6:6" x14ac:dyDescent="0.25">
      <c r="F243" s="12"/>
    </row>
    <row r="244" spans="6:6" x14ac:dyDescent="0.25">
      <c r="F244" s="12"/>
    </row>
    <row r="245" spans="6:6" x14ac:dyDescent="0.25">
      <c r="F245" s="12"/>
    </row>
    <row r="246" spans="6:6" x14ac:dyDescent="0.25">
      <c r="F246" s="12"/>
    </row>
    <row r="247" spans="6:6" x14ac:dyDescent="0.25">
      <c r="F247" s="12"/>
    </row>
    <row r="248" spans="6:6" x14ac:dyDescent="0.25">
      <c r="F248" s="12"/>
    </row>
    <row r="249" spans="6:6" x14ac:dyDescent="0.25">
      <c r="F249" s="12"/>
    </row>
    <row r="250" spans="6:6" x14ac:dyDescent="0.25">
      <c r="F250" s="12"/>
    </row>
    <row r="251" spans="6:6" x14ac:dyDescent="0.25">
      <c r="F251" s="12"/>
    </row>
    <row r="252" spans="6:6" x14ac:dyDescent="0.25">
      <c r="F252" s="12"/>
    </row>
    <row r="253" spans="6:6" x14ac:dyDescent="0.25">
      <c r="F253" s="12"/>
    </row>
    <row r="254" spans="6:6" x14ac:dyDescent="0.25">
      <c r="F254" s="12"/>
    </row>
    <row r="255" spans="6:6" x14ac:dyDescent="0.25">
      <c r="F255" s="12"/>
    </row>
    <row r="256" spans="6:6" x14ac:dyDescent="0.25">
      <c r="F256" s="12"/>
    </row>
    <row r="257" spans="6:6" x14ac:dyDescent="0.25">
      <c r="F257" s="12"/>
    </row>
    <row r="258" spans="6:6" x14ac:dyDescent="0.25">
      <c r="F258" s="12"/>
    </row>
    <row r="259" spans="6:6" x14ac:dyDescent="0.25">
      <c r="F259" s="12"/>
    </row>
    <row r="260" spans="6:6" x14ac:dyDescent="0.25">
      <c r="F260" s="12"/>
    </row>
    <row r="261" spans="6:6" x14ac:dyDescent="0.25">
      <c r="F261" s="12"/>
    </row>
    <row r="262" spans="6:6" x14ac:dyDescent="0.25">
      <c r="F262" s="12"/>
    </row>
    <row r="263" spans="6:6" x14ac:dyDescent="0.25">
      <c r="F263" s="12"/>
    </row>
    <row r="264" spans="6:6" x14ac:dyDescent="0.25">
      <c r="F264" s="12"/>
    </row>
    <row r="265" spans="6:6" x14ac:dyDescent="0.25">
      <c r="F265" s="12"/>
    </row>
    <row r="266" spans="6:6" x14ac:dyDescent="0.25">
      <c r="F266" s="12"/>
    </row>
    <row r="267" spans="6:6" x14ac:dyDescent="0.25">
      <c r="F267" s="12"/>
    </row>
    <row r="268" spans="6:6" x14ac:dyDescent="0.25">
      <c r="F268" s="12"/>
    </row>
    <row r="269" spans="6:6" x14ac:dyDescent="0.25">
      <c r="F269" s="12"/>
    </row>
    <row r="270" spans="6:6" x14ac:dyDescent="0.25">
      <c r="F270" s="12"/>
    </row>
    <row r="271" spans="6:6" x14ac:dyDescent="0.25">
      <c r="F271" s="12"/>
    </row>
    <row r="272" spans="6:6" x14ac:dyDescent="0.25">
      <c r="F272" s="12"/>
    </row>
    <row r="273" spans="6:6" x14ac:dyDescent="0.25">
      <c r="F273" s="12"/>
    </row>
    <row r="274" spans="6:6" x14ac:dyDescent="0.25">
      <c r="F274" s="12"/>
    </row>
    <row r="275" spans="6:6" x14ac:dyDescent="0.25">
      <c r="F275" s="12"/>
    </row>
    <row r="276" spans="6:6" x14ac:dyDescent="0.25">
      <c r="F276" s="12"/>
    </row>
    <row r="277" spans="6:6" x14ac:dyDescent="0.25">
      <c r="F277" s="12"/>
    </row>
    <row r="278" spans="6:6" x14ac:dyDescent="0.25">
      <c r="F278" s="12"/>
    </row>
    <row r="279" spans="6:6" x14ac:dyDescent="0.25">
      <c r="F279" s="12"/>
    </row>
    <row r="280" spans="6:6" x14ac:dyDescent="0.25">
      <c r="F280" s="12"/>
    </row>
    <row r="281" spans="6:6" x14ac:dyDescent="0.25">
      <c r="F281" s="12"/>
    </row>
    <row r="282" spans="6:6" x14ac:dyDescent="0.25">
      <c r="F282" s="12"/>
    </row>
    <row r="283" spans="6:6" x14ac:dyDescent="0.25">
      <c r="F283" s="12"/>
    </row>
    <row r="284" spans="6:6" x14ac:dyDescent="0.25">
      <c r="F284" s="12"/>
    </row>
    <row r="285" spans="6:6" x14ac:dyDescent="0.25">
      <c r="F285" s="12"/>
    </row>
    <row r="286" spans="6:6" x14ac:dyDescent="0.25">
      <c r="F286" s="12"/>
    </row>
    <row r="287" spans="6:6" x14ac:dyDescent="0.25">
      <c r="F287" s="12"/>
    </row>
    <row r="288" spans="6:6" x14ac:dyDescent="0.25">
      <c r="F288" s="12"/>
    </row>
    <row r="289" spans="6:6" x14ac:dyDescent="0.25">
      <c r="F289" s="12"/>
    </row>
    <row r="290" spans="6:6" x14ac:dyDescent="0.25">
      <c r="F290" s="12"/>
    </row>
    <row r="291" spans="6:6" x14ac:dyDescent="0.25">
      <c r="F291" s="12"/>
    </row>
    <row r="292" spans="6:6" x14ac:dyDescent="0.25">
      <c r="F292" s="12"/>
    </row>
    <row r="293" spans="6:6" x14ac:dyDescent="0.25">
      <c r="F293" s="12"/>
    </row>
    <row r="294" spans="6:6" x14ac:dyDescent="0.25">
      <c r="F294" s="12"/>
    </row>
    <row r="295" spans="6:6" x14ac:dyDescent="0.25">
      <c r="F295" s="12"/>
    </row>
    <row r="296" spans="6:6" x14ac:dyDescent="0.25">
      <c r="F296" s="12"/>
    </row>
    <row r="297" spans="6:6" x14ac:dyDescent="0.25">
      <c r="F297" s="12"/>
    </row>
    <row r="298" spans="6:6" x14ac:dyDescent="0.25">
      <c r="F298" s="12"/>
    </row>
    <row r="299" spans="6:6" x14ac:dyDescent="0.25">
      <c r="F299" s="12"/>
    </row>
    <row r="300" spans="6:6" x14ac:dyDescent="0.25">
      <c r="F300" s="12"/>
    </row>
    <row r="301" spans="6:6" x14ac:dyDescent="0.25">
      <c r="F301" s="12"/>
    </row>
    <row r="302" spans="6:6" x14ac:dyDescent="0.25">
      <c r="F302" s="12"/>
    </row>
    <row r="303" spans="6:6" x14ac:dyDescent="0.25">
      <c r="F303" s="12"/>
    </row>
    <row r="304" spans="6:6" x14ac:dyDescent="0.25">
      <c r="F304" s="12"/>
    </row>
    <row r="305" spans="6:6" x14ac:dyDescent="0.25">
      <c r="F305" s="12"/>
    </row>
    <row r="306" spans="6:6" x14ac:dyDescent="0.25">
      <c r="F306" s="12"/>
    </row>
    <row r="307" spans="6:6" x14ac:dyDescent="0.25">
      <c r="F307" s="12"/>
    </row>
    <row r="308" spans="6:6" x14ac:dyDescent="0.25">
      <c r="F308" s="12"/>
    </row>
    <row r="309" spans="6:6" x14ac:dyDescent="0.25">
      <c r="F309" s="12"/>
    </row>
    <row r="310" spans="6:6" x14ac:dyDescent="0.25">
      <c r="F310" s="12"/>
    </row>
    <row r="311" spans="6:6" x14ac:dyDescent="0.25">
      <c r="F311" s="12"/>
    </row>
    <row r="312" spans="6:6" x14ac:dyDescent="0.25">
      <c r="F312" s="12"/>
    </row>
    <row r="313" spans="6:6" x14ac:dyDescent="0.25">
      <c r="F313" s="12"/>
    </row>
    <row r="314" spans="6:6" x14ac:dyDescent="0.25">
      <c r="F314" s="12"/>
    </row>
    <row r="315" spans="6:6" x14ac:dyDescent="0.25">
      <c r="F315" s="12"/>
    </row>
    <row r="316" spans="6:6" x14ac:dyDescent="0.25">
      <c r="F316" s="12"/>
    </row>
    <row r="317" spans="6:6" x14ac:dyDescent="0.25">
      <c r="F317" s="12"/>
    </row>
    <row r="318" spans="6:6" x14ac:dyDescent="0.25">
      <c r="F318" s="12"/>
    </row>
    <row r="319" spans="6:6" x14ac:dyDescent="0.25">
      <c r="F319" s="12"/>
    </row>
    <row r="320" spans="6:6" x14ac:dyDescent="0.25">
      <c r="F320" s="12"/>
    </row>
    <row r="321" spans="6:6" x14ac:dyDescent="0.25">
      <c r="F321" s="12"/>
    </row>
    <row r="322" spans="6:6" x14ac:dyDescent="0.25">
      <c r="F322" s="12"/>
    </row>
    <row r="323" spans="6:6" x14ac:dyDescent="0.25">
      <c r="F323" s="12"/>
    </row>
    <row r="324" spans="6:6" x14ac:dyDescent="0.25">
      <c r="F324" s="12"/>
    </row>
    <row r="325" spans="6:6" x14ac:dyDescent="0.25">
      <c r="F325" s="12"/>
    </row>
    <row r="326" spans="6:6" x14ac:dyDescent="0.25">
      <c r="F326" s="12"/>
    </row>
    <row r="327" spans="6:6" x14ac:dyDescent="0.25">
      <c r="F327" s="12"/>
    </row>
    <row r="328" spans="6:6" x14ac:dyDescent="0.25">
      <c r="F328" s="12"/>
    </row>
    <row r="329" spans="6:6" x14ac:dyDescent="0.25">
      <c r="F329" s="12"/>
    </row>
    <row r="330" spans="6:6" x14ac:dyDescent="0.25">
      <c r="F330" s="12"/>
    </row>
    <row r="331" spans="6:6" x14ac:dyDescent="0.25">
      <c r="F331" s="12"/>
    </row>
    <row r="332" spans="6:6" x14ac:dyDescent="0.25">
      <c r="F332" s="12"/>
    </row>
    <row r="333" spans="6:6" x14ac:dyDescent="0.25">
      <c r="F333" s="12"/>
    </row>
    <row r="334" spans="6:6" x14ac:dyDescent="0.25">
      <c r="F334" s="12"/>
    </row>
  </sheetData>
  <sheetProtection algorithmName="SHA-512" hashValue="KVOHoxLHkDcO7IaESUhqWx0/yxHo4cCu3F/ytsWdsNF/gNTK/nwCM9I4W7R07d2/u7s62DPKpxBbCjZIF1M79w==" saltValue="/uTksEQCq/16WAYx6Bah1A==" spinCount="100000" sheet="1" objects="1" scenarios="1" formatCells="0" formatColumns="0" formatRows="0" sort="0" autoFilter="0"/>
  <protectedRanges>
    <protectedRange sqref="B2:F2 D6 M10" name="Information_All"/>
  </protectedRanges>
  <mergeCells count="1">
    <mergeCell ref="M8:N8"/>
  </mergeCells>
  <conditionalFormatting sqref="D9:K30">
    <cfRule type="expression" dxfId="24" priority="14">
      <formula>D9&lt;&gt;""</formula>
    </cfRule>
  </conditionalFormatting>
  <conditionalFormatting sqref="E9:K35">
    <cfRule type="expression" dxfId="23" priority="8">
      <formula>AND(NOT(ISNUMBER($I9)),$E9=1)</formula>
    </cfRule>
  </conditionalFormatting>
  <conditionalFormatting sqref="I15:I30">
    <cfRule type="expression" dxfId="22" priority="15">
      <formula>AND(E15&lt;&gt;1,I15 &gt;= 1)</formula>
    </cfRule>
    <cfRule type="expression" dxfId="21" priority="17">
      <formula>I15&gt;0</formula>
    </cfRule>
  </conditionalFormatting>
  <conditionalFormatting sqref="K9:K30">
    <cfRule type="expression" dxfId="20" priority="3">
      <formula>AND(ISNUMBER(K9),K9=0)</formula>
    </cfRule>
    <cfRule type="expression" dxfId="19" priority="4">
      <formula>AND(ISNUMBER(K9),K9&lt;0)</formula>
    </cfRule>
    <cfRule type="expression" dxfId="18" priority="7">
      <formula>AND(ISNUMBER(K9),K9&gt;0)</formula>
    </cfRule>
  </conditionalFormatting>
  <conditionalFormatting sqref="M10">
    <cfRule type="expression" dxfId="17" priority="9">
      <formula>$Q$8</formula>
    </cfRule>
  </conditionalFormatting>
  <conditionalFormatting sqref="M12:Q23 Q24:Q25 M24:P133">
    <cfRule type="expression" dxfId="16" priority="1">
      <formula>ISERROR(M12)</formula>
    </cfRule>
    <cfRule type="expression" dxfId="15" priority="2">
      <formula>M12&lt;&gt;""</formula>
    </cfRule>
  </conditionalFormatting>
  <conditionalFormatting sqref="O12:O14">
    <cfRule type="expression" dxfId="14" priority="10">
      <formula>O12=""</formula>
    </cfRule>
  </conditionalFormatting>
  <conditionalFormatting sqref="O12:Q14">
    <cfRule type="expression" dxfId="13" priority="11">
      <formula>ISNUM(O13)</formula>
    </cfRule>
  </conditionalFormatting>
  <dataValidations count="4">
    <dataValidation type="textLength" allowBlank="1" showInputMessage="1" showErrorMessage="1" errorTitle="MinMax" error="A minimum of one character and a maximum of five characters" promptTitle="MinMax" prompt="A minimum of one character and a maximum of five characters." sqref="B2" xr:uid="{1EEC3905-1E3B-48AA-B5BA-1FEE48EE010D}">
      <formula1>1</formula1>
      <formula2>5</formula2>
    </dataValidation>
    <dataValidation type="list" allowBlank="1" showInputMessage="1" showErrorMessage="1" sqref="D6" xr:uid="{647040DF-278C-4233-A90A-2A5B88C2C4CB}">
      <formula1>Used_Roles</formula1>
    </dataValidation>
    <dataValidation type="whole" showInputMessage="1" showErrorMessage="1" errorTitle="Min 1 and Max 21" error="Min 1 and Max 21" promptTitle="Days to check" prompt="How many days to check prior to start date. Min 1 days and Max of 21 days" sqref="P8" xr:uid="{1DD2F3F4-4AF4-48B8-A8DE-C846A910E615}">
      <formula1>1</formula1>
      <formula2>21</formula2>
    </dataValidation>
    <dataValidation type="list" allowBlank="1" showInputMessage="1" showErrorMessage="1" sqref="M10" xr:uid="{28B7FEB8-BC7B-4532-BF20-61C438124D27}">
      <formula1>Info_task_ref</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F9AC8-9D16-4F1A-BFAA-5DB9B0900B9B}">
  <dimension ref="B1:R59"/>
  <sheetViews>
    <sheetView topLeftCell="A3" zoomScaleNormal="100" workbookViewId="0">
      <selection activeCell="M28" sqref="M28"/>
    </sheetView>
  </sheetViews>
  <sheetFormatPr defaultRowHeight="15" x14ac:dyDescent="0.25"/>
  <cols>
    <col min="1" max="1" width="2.5703125" customWidth="1"/>
    <col min="2" max="2" width="21.5703125" bestFit="1" customWidth="1"/>
    <col min="3" max="3" width="10.42578125" bestFit="1" customWidth="1"/>
    <col min="4" max="4" width="2.42578125" customWidth="1"/>
    <col min="5" max="5" width="23.85546875" customWidth="1"/>
    <col min="6" max="6" width="10.42578125" bestFit="1" customWidth="1"/>
    <col min="7" max="7" width="19.140625" bestFit="1" customWidth="1"/>
    <col min="8" max="8" width="29.85546875" bestFit="1" customWidth="1"/>
    <col min="9" max="9" width="10.42578125" bestFit="1" customWidth="1"/>
    <col min="10" max="10" width="3.140625" customWidth="1"/>
    <col min="11" max="11" width="21.85546875" bestFit="1" customWidth="1"/>
    <col min="12" max="12" width="2.5703125" customWidth="1"/>
    <col min="13" max="13" width="16.140625" bestFit="1" customWidth="1"/>
    <col min="14" max="14" width="13.140625" bestFit="1" customWidth="1"/>
    <col min="15" max="15" width="2.5703125" customWidth="1"/>
    <col min="16" max="16" width="18" customWidth="1"/>
    <col min="17" max="17" width="11.140625" bestFit="1" customWidth="1"/>
    <col min="18" max="18" width="15.85546875" bestFit="1" customWidth="1"/>
  </cols>
  <sheetData>
    <row r="1" spans="2:18" ht="19.5" thickBot="1" x14ac:dyDescent="0.3">
      <c r="B1" s="261" t="s">
        <v>104</v>
      </c>
      <c r="C1" s="203"/>
      <c r="D1" s="125"/>
      <c r="E1" s="261" t="s">
        <v>356</v>
      </c>
      <c r="F1" s="202"/>
      <c r="G1" s="202"/>
      <c r="H1" s="202"/>
      <c r="I1" s="203"/>
      <c r="K1" s="262" t="s">
        <v>355</v>
      </c>
      <c r="M1" s="263" t="s">
        <v>357</v>
      </c>
      <c r="N1" s="194"/>
      <c r="O1" s="147"/>
      <c r="P1" s="264" t="s">
        <v>324</v>
      </c>
      <c r="Q1" s="146"/>
      <c r="R1" s="145"/>
    </row>
    <row r="2" spans="2:18" ht="15.75" thickBot="1" x14ac:dyDescent="0.3">
      <c r="B2" s="143" t="s">
        <v>89</v>
      </c>
      <c r="C2" s="144" t="s">
        <v>7</v>
      </c>
      <c r="E2" s="265" t="s">
        <v>96</v>
      </c>
      <c r="F2" s="266" t="s">
        <v>7</v>
      </c>
      <c r="G2" s="256" t="s">
        <v>8</v>
      </c>
      <c r="H2" s="256" t="s">
        <v>163</v>
      </c>
      <c r="I2" s="267" t="s">
        <v>26</v>
      </c>
      <c r="K2" s="268" t="s">
        <v>166</v>
      </c>
      <c r="M2" s="195" t="s">
        <v>358</v>
      </c>
      <c r="N2" s="196" t="s">
        <v>359</v>
      </c>
      <c r="O2" s="1"/>
      <c r="P2" s="155" t="s">
        <v>96</v>
      </c>
      <c r="Q2" s="155" t="s">
        <v>7</v>
      </c>
      <c r="R2" s="155" t="s">
        <v>8</v>
      </c>
    </row>
    <row r="3" spans="2:18" ht="16.5" thickBot="1" x14ac:dyDescent="0.3">
      <c r="B3" s="272" t="s">
        <v>135</v>
      </c>
      <c r="C3" s="273">
        <v>43836</v>
      </c>
      <c r="D3" s="237"/>
      <c r="E3" s="274" t="s">
        <v>99</v>
      </c>
      <c r="F3" s="275">
        <v>43831</v>
      </c>
      <c r="G3" s="276" t="s">
        <v>172</v>
      </c>
      <c r="H3" s="276" t="s">
        <v>452</v>
      </c>
      <c r="I3" s="410">
        <f>WEEKDAY(tbl_staff_holidays[[#This Row],[Date]],1)</f>
        <v>4</v>
      </c>
      <c r="K3" s="269" t="s">
        <v>167</v>
      </c>
      <c r="M3" s="197" t="s">
        <v>164</v>
      </c>
      <c r="N3" s="198">
        <v>45687</v>
      </c>
      <c r="O3" s="1"/>
      <c r="P3" s="419" t="str">
        <f t="shared" ref="P3:P27" si="0">IF(Q3&lt;&gt;"",$N$5,"")</f>
        <v>Chloe Martin</v>
      </c>
      <c r="Q3" s="420" cm="1">
        <f t="array" ref="Q3:Q27">IFERROR(INDEX(_xlfn._xlws.FILTER(_xlfn.SEQUENCE(N4-N3+1, , N3), WEEKDAY(_xlfn.SEQUENCE(N4-N3+1, , N3), 2) &lt; 6), _xlfn.SEQUENCE(25), 1), "")</f>
        <v>45687</v>
      </c>
      <c r="R3" s="421" t="str">
        <f t="shared" ref="R3:R27" si="1">IF(Q3&lt;&gt;"",$N$6,"")</f>
        <v>Issue with Task</v>
      </c>
    </row>
    <row r="4" spans="2:18" ht="16.5" thickBot="1" x14ac:dyDescent="0.3">
      <c r="B4" s="277" t="s">
        <v>83</v>
      </c>
      <c r="C4" s="278">
        <v>45292</v>
      </c>
      <c r="D4" s="237"/>
      <c r="E4" s="279" t="s">
        <v>280</v>
      </c>
      <c r="F4" s="280">
        <v>43836</v>
      </c>
      <c r="G4" s="281" t="s">
        <v>172</v>
      </c>
      <c r="H4" s="281" t="s">
        <v>177</v>
      </c>
      <c r="I4" s="411">
        <f>WEEKDAY(tbl_staff_holidays[[#This Row],[Date]],1)</f>
        <v>2</v>
      </c>
      <c r="K4" s="269" t="s">
        <v>168</v>
      </c>
      <c r="M4" s="197" t="s">
        <v>165</v>
      </c>
      <c r="N4" s="198">
        <v>45693</v>
      </c>
      <c r="O4" s="18"/>
      <c r="P4" s="419" t="str">
        <f t="shared" si="0"/>
        <v>Chloe Martin</v>
      </c>
      <c r="Q4" s="420">
        <v>45688</v>
      </c>
      <c r="R4" s="421" t="str">
        <f t="shared" si="1"/>
        <v>Issue with Task</v>
      </c>
    </row>
    <row r="5" spans="2:18" ht="16.5" thickBot="1" x14ac:dyDescent="0.3">
      <c r="B5" s="277" t="s">
        <v>84</v>
      </c>
      <c r="C5" s="278">
        <v>45380</v>
      </c>
      <c r="D5" s="237"/>
      <c r="E5" s="279" t="s">
        <v>281</v>
      </c>
      <c r="F5" s="280">
        <v>43836</v>
      </c>
      <c r="G5" s="281" t="s">
        <v>172</v>
      </c>
      <c r="H5" s="281" t="s">
        <v>177</v>
      </c>
      <c r="I5" s="411">
        <f>WEEKDAY(tbl_staff_holidays[[#This Row],[Date]],1)</f>
        <v>2</v>
      </c>
      <c r="K5" s="269" t="s">
        <v>169</v>
      </c>
      <c r="M5" s="197" t="s">
        <v>96</v>
      </c>
      <c r="N5" s="199" t="s">
        <v>296</v>
      </c>
      <c r="O5" s="1"/>
      <c r="P5" s="419" t="str">
        <f t="shared" si="0"/>
        <v>Chloe Martin</v>
      </c>
      <c r="Q5" s="420">
        <v>45691</v>
      </c>
      <c r="R5" s="421" t="str">
        <f t="shared" si="1"/>
        <v>Issue with Task</v>
      </c>
    </row>
    <row r="6" spans="2:18" ht="16.5" thickBot="1" x14ac:dyDescent="0.3">
      <c r="B6" s="277" t="s">
        <v>85</v>
      </c>
      <c r="C6" s="278">
        <v>45383</v>
      </c>
      <c r="D6" s="237"/>
      <c r="E6" s="279" t="s">
        <v>282</v>
      </c>
      <c r="F6" s="280">
        <v>43836</v>
      </c>
      <c r="G6" s="281" t="s">
        <v>172</v>
      </c>
      <c r="H6" s="281" t="s">
        <v>177</v>
      </c>
      <c r="I6" s="411">
        <f>WEEKDAY(tbl_staff_holidays[[#This Row],[Date]],1)</f>
        <v>2</v>
      </c>
      <c r="K6" s="269" t="s">
        <v>170</v>
      </c>
      <c r="M6" s="200" t="s">
        <v>8</v>
      </c>
      <c r="N6" s="201" t="s">
        <v>169</v>
      </c>
      <c r="P6" s="419" t="str">
        <f t="shared" si="0"/>
        <v>Chloe Martin</v>
      </c>
      <c r="Q6" s="420">
        <v>45692</v>
      </c>
      <c r="R6" s="421" t="str">
        <f t="shared" si="1"/>
        <v>Issue with Task</v>
      </c>
    </row>
    <row r="7" spans="2:18" ht="15.75" thickBot="1" x14ac:dyDescent="0.3">
      <c r="B7" s="277" t="s">
        <v>86</v>
      </c>
      <c r="C7" s="278">
        <v>45418</v>
      </c>
      <c r="D7" s="237"/>
      <c r="E7" s="279" t="s">
        <v>283</v>
      </c>
      <c r="F7" s="280">
        <v>43836</v>
      </c>
      <c r="G7" s="281" t="s">
        <v>172</v>
      </c>
      <c r="H7" s="281" t="s">
        <v>177</v>
      </c>
      <c r="I7" s="411">
        <f>WEEKDAY(tbl_staff_holidays[[#This Row],[Date]],1)</f>
        <v>2</v>
      </c>
      <c r="K7" s="269" t="s">
        <v>171</v>
      </c>
      <c r="P7" s="419" t="str">
        <f t="shared" si="0"/>
        <v>Chloe Martin</v>
      </c>
      <c r="Q7" s="420">
        <v>45693</v>
      </c>
      <c r="R7" s="421" t="str">
        <f t="shared" si="1"/>
        <v>Issue with Task</v>
      </c>
    </row>
    <row r="8" spans="2:18" ht="15.75" thickBot="1" x14ac:dyDescent="0.3">
      <c r="B8" s="277" t="s">
        <v>87</v>
      </c>
      <c r="C8" s="278">
        <v>45439</v>
      </c>
      <c r="D8" s="237"/>
      <c r="E8" s="279" t="s">
        <v>284</v>
      </c>
      <c r="F8" s="280">
        <v>43836</v>
      </c>
      <c r="G8" s="281" t="s">
        <v>172</v>
      </c>
      <c r="H8" s="281" t="s">
        <v>177</v>
      </c>
      <c r="I8" s="411">
        <f>WEEKDAY(tbl_staff_holidays[[#This Row],[Date]],1)</f>
        <v>2</v>
      </c>
      <c r="K8" s="269" t="s">
        <v>350</v>
      </c>
      <c r="P8" s="419" t="str">
        <f t="shared" si="0"/>
        <v/>
      </c>
      <c r="Q8" s="420" t="str">
        <v/>
      </c>
      <c r="R8" s="421" t="str">
        <f t="shared" si="1"/>
        <v/>
      </c>
    </row>
    <row r="9" spans="2:18" ht="15.75" thickBot="1" x14ac:dyDescent="0.3">
      <c r="B9" s="277" t="s">
        <v>88</v>
      </c>
      <c r="C9" s="278">
        <v>45530</v>
      </c>
      <c r="D9" s="237"/>
      <c r="E9" s="279" t="s">
        <v>293</v>
      </c>
      <c r="F9" s="280">
        <v>43836</v>
      </c>
      <c r="G9" s="281" t="s">
        <v>172</v>
      </c>
      <c r="H9" s="281" t="s">
        <v>177</v>
      </c>
      <c r="I9" s="411">
        <f>WEEKDAY(tbl_staff_holidays[[#This Row],[Date]],1)</f>
        <v>2</v>
      </c>
      <c r="K9" s="270" t="s">
        <v>172</v>
      </c>
      <c r="P9" s="419" t="str">
        <f t="shared" si="0"/>
        <v/>
      </c>
      <c r="Q9" s="420" t="str">
        <v/>
      </c>
      <c r="R9" s="421" t="str">
        <f t="shared" si="1"/>
        <v/>
      </c>
    </row>
    <row r="10" spans="2:18" ht="15.75" thickBot="1" x14ac:dyDescent="0.3">
      <c r="B10" s="277" t="s">
        <v>25</v>
      </c>
      <c r="C10" s="278">
        <v>45651</v>
      </c>
      <c r="D10" s="237"/>
      <c r="E10" s="279" t="s">
        <v>285</v>
      </c>
      <c r="F10" s="280">
        <v>43836</v>
      </c>
      <c r="G10" s="281" t="s">
        <v>172</v>
      </c>
      <c r="H10" s="281" t="s">
        <v>177</v>
      </c>
      <c r="I10" s="411">
        <f>WEEKDAY(tbl_staff_holidays[[#This Row],[Date]],1)</f>
        <v>2</v>
      </c>
      <c r="P10" s="419" t="str">
        <f t="shared" si="0"/>
        <v/>
      </c>
      <c r="Q10" s="420" t="str">
        <v/>
      </c>
      <c r="R10" s="421" t="str">
        <f t="shared" si="1"/>
        <v/>
      </c>
    </row>
    <row r="11" spans="2:18" ht="15.75" thickBot="1" x14ac:dyDescent="0.3">
      <c r="B11" s="277" t="s">
        <v>24</v>
      </c>
      <c r="C11" s="278">
        <v>45652</v>
      </c>
      <c r="D11" s="237"/>
      <c r="E11" s="279" t="s">
        <v>286</v>
      </c>
      <c r="F11" s="280">
        <v>43836</v>
      </c>
      <c r="G11" s="281" t="s">
        <v>172</v>
      </c>
      <c r="H11" s="281" t="s">
        <v>177</v>
      </c>
      <c r="I11" s="411">
        <f>WEEKDAY(tbl_staff_holidays[[#This Row],[Date]],1)</f>
        <v>2</v>
      </c>
      <c r="P11" s="419" t="str">
        <f t="shared" si="0"/>
        <v/>
      </c>
      <c r="Q11" s="420" t="str">
        <v/>
      </c>
      <c r="R11" s="421" t="str">
        <f t="shared" si="1"/>
        <v/>
      </c>
    </row>
    <row r="12" spans="2:18" ht="15.75" thickBot="1" x14ac:dyDescent="0.3">
      <c r="B12" s="277" t="s">
        <v>83</v>
      </c>
      <c r="C12" s="278">
        <v>45658</v>
      </c>
      <c r="D12" s="237"/>
      <c r="E12" s="279" t="s">
        <v>288</v>
      </c>
      <c r="F12" s="280">
        <v>43836</v>
      </c>
      <c r="G12" s="281" t="s">
        <v>172</v>
      </c>
      <c r="H12" s="281" t="s">
        <v>177</v>
      </c>
      <c r="I12" s="411">
        <f>WEEKDAY(tbl_staff_holidays[[#This Row],[Date]],1)</f>
        <v>2</v>
      </c>
      <c r="P12" s="419" t="str">
        <f t="shared" si="0"/>
        <v/>
      </c>
      <c r="Q12" s="420" t="str">
        <v/>
      </c>
      <c r="R12" s="421" t="str">
        <f t="shared" si="1"/>
        <v/>
      </c>
    </row>
    <row r="13" spans="2:18" ht="15.75" thickBot="1" x14ac:dyDescent="0.3">
      <c r="B13" s="277" t="s">
        <v>84</v>
      </c>
      <c r="C13" s="278">
        <v>45765</v>
      </c>
      <c r="D13" s="237"/>
      <c r="E13" s="279" t="s">
        <v>294</v>
      </c>
      <c r="F13" s="280">
        <v>43836</v>
      </c>
      <c r="G13" s="281" t="s">
        <v>172</v>
      </c>
      <c r="H13" s="281" t="s">
        <v>177</v>
      </c>
      <c r="I13" s="411">
        <f>WEEKDAY(tbl_staff_holidays[[#This Row],[Date]],1)</f>
        <v>2</v>
      </c>
      <c r="P13" s="419" t="str">
        <f t="shared" si="0"/>
        <v/>
      </c>
      <c r="Q13" s="420" t="str">
        <v/>
      </c>
      <c r="R13" s="421" t="str">
        <f t="shared" si="1"/>
        <v/>
      </c>
    </row>
    <row r="14" spans="2:18" ht="15.75" thickBot="1" x14ac:dyDescent="0.3">
      <c r="B14" s="277" t="s">
        <v>85</v>
      </c>
      <c r="C14" s="278">
        <v>45768</v>
      </c>
      <c r="D14" s="237"/>
      <c r="E14" s="279" t="s">
        <v>289</v>
      </c>
      <c r="F14" s="280">
        <v>43836</v>
      </c>
      <c r="G14" s="282" t="s">
        <v>172</v>
      </c>
      <c r="H14" s="281" t="s">
        <v>177</v>
      </c>
      <c r="I14" s="411">
        <f>WEEKDAY(tbl_staff_holidays[[#This Row],[Date]],1)</f>
        <v>2</v>
      </c>
      <c r="P14" s="419" t="str">
        <f t="shared" si="0"/>
        <v/>
      </c>
      <c r="Q14" s="420" t="str">
        <v/>
      </c>
      <c r="R14" s="421" t="str">
        <f t="shared" si="1"/>
        <v/>
      </c>
    </row>
    <row r="15" spans="2:18" ht="15.75" thickBot="1" x14ac:dyDescent="0.3">
      <c r="B15" s="277" t="s">
        <v>86</v>
      </c>
      <c r="C15" s="278">
        <v>45782</v>
      </c>
      <c r="D15" s="237"/>
      <c r="E15" s="279" t="s">
        <v>290</v>
      </c>
      <c r="F15" s="280">
        <v>43836</v>
      </c>
      <c r="G15" s="282" t="s">
        <v>172</v>
      </c>
      <c r="H15" s="281" t="s">
        <v>177</v>
      </c>
      <c r="I15" s="411">
        <f>WEEKDAY(tbl_staff_holidays[[#This Row],[Date]],1)</f>
        <v>2</v>
      </c>
      <c r="P15" s="419" t="str">
        <f t="shared" si="0"/>
        <v/>
      </c>
      <c r="Q15" s="420" t="str">
        <v/>
      </c>
      <c r="R15" s="421" t="str">
        <f t="shared" si="1"/>
        <v/>
      </c>
    </row>
    <row r="16" spans="2:18" ht="15.75" thickBot="1" x14ac:dyDescent="0.3">
      <c r="B16" s="277" t="s">
        <v>87</v>
      </c>
      <c r="C16" s="278">
        <v>45803</v>
      </c>
      <c r="D16" s="237"/>
      <c r="E16" s="279" t="s">
        <v>295</v>
      </c>
      <c r="F16" s="280">
        <v>43836</v>
      </c>
      <c r="G16" s="281" t="s">
        <v>172</v>
      </c>
      <c r="H16" s="281" t="s">
        <v>177</v>
      </c>
      <c r="I16" s="411">
        <f>WEEKDAY(tbl_staff_holidays[[#This Row],[Date]],1)</f>
        <v>2</v>
      </c>
      <c r="P16" s="419" t="str">
        <f t="shared" si="0"/>
        <v/>
      </c>
      <c r="Q16" s="420" t="str">
        <v/>
      </c>
      <c r="R16" s="421" t="str">
        <f t="shared" si="1"/>
        <v/>
      </c>
    </row>
    <row r="17" spans="2:18" ht="15.75" thickBot="1" x14ac:dyDescent="0.3">
      <c r="B17" s="277" t="s">
        <v>88</v>
      </c>
      <c r="C17" s="278">
        <v>45894</v>
      </c>
      <c r="D17" s="237"/>
      <c r="E17" s="279" t="s">
        <v>296</v>
      </c>
      <c r="F17" s="280">
        <v>43836</v>
      </c>
      <c r="G17" s="281" t="s">
        <v>172</v>
      </c>
      <c r="H17" s="281" t="s">
        <v>177</v>
      </c>
      <c r="I17" s="411">
        <f>WEEKDAY(tbl_staff_holidays[[#This Row],[Date]],1)</f>
        <v>2</v>
      </c>
      <c r="P17" s="419" t="str">
        <f t="shared" si="0"/>
        <v/>
      </c>
      <c r="Q17" s="420" t="str">
        <v/>
      </c>
      <c r="R17" s="421" t="str">
        <f t="shared" si="1"/>
        <v/>
      </c>
    </row>
    <row r="18" spans="2:18" ht="15.75" thickBot="1" x14ac:dyDescent="0.3">
      <c r="B18" s="277" t="s">
        <v>25</v>
      </c>
      <c r="C18" s="278">
        <v>46016</v>
      </c>
      <c r="D18" s="237"/>
      <c r="E18" s="279" t="s">
        <v>421</v>
      </c>
      <c r="F18" s="280">
        <v>43836</v>
      </c>
      <c r="G18" s="281" t="s">
        <v>172</v>
      </c>
      <c r="H18" s="281" t="s">
        <v>177</v>
      </c>
      <c r="I18" s="411">
        <f>WEEKDAY(tbl_staff_holidays[[#This Row],[Date]],1)</f>
        <v>2</v>
      </c>
      <c r="P18" s="419" t="str">
        <f t="shared" si="0"/>
        <v/>
      </c>
      <c r="Q18" s="420" t="str">
        <v/>
      </c>
      <c r="R18" s="421" t="str">
        <f t="shared" si="1"/>
        <v/>
      </c>
    </row>
    <row r="19" spans="2:18" ht="15.75" thickBot="1" x14ac:dyDescent="0.3">
      <c r="B19" s="277" t="s">
        <v>24</v>
      </c>
      <c r="C19" s="278">
        <v>46017</v>
      </c>
      <c r="D19" s="237"/>
      <c r="E19" s="279" t="s">
        <v>426</v>
      </c>
      <c r="F19" s="280">
        <v>43836</v>
      </c>
      <c r="G19" s="281" t="s">
        <v>172</v>
      </c>
      <c r="H19" s="281" t="s">
        <v>177</v>
      </c>
      <c r="I19" s="411">
        <f>WEEKDAY(tbl_staff_holidays[[#This Row],[Date]],1)</f>
        <v>2</v>
      </c>
      <c r="P19" s="419" t="str">
        <f t="shared" si="0"/>
        <v/>
      </c>
      <c r="Q19" s="420" t="str">
        <v/>
      </c>
      <c r="R19" s="421" t="str">
        <f t="shared" si="1"/>
        <v/>
      </c>
    </row>
    <row r="20" spans="2:18" ht="15.75" thickBot="1" x14ac:dyDescent="0.3">
      <c r="B20" s="277" t="s">
        <v>83</v>
      </c>
      <c r="C20" s="278">
        <v>46023</v>
      </c>
      <c r="D20" s="237"/>
      <c r="E20" s="279" t="s">
        <v>427</v>
      </c>
      <c r="F20" s="280">
        <v>43836</v>
      </c>
      <c r="G20" s="281" t="s">
        <v>172</v>
      </c>
      <c r="H20" s="281" t="s">
        <v>177</v>
      </c>
      <c r="I20" s="411">
        <f>WEEKDAY(tbl_staff_holidays[[#This Row],[Date]],1)</f>
        <v>2</v>
      </c>
      <c r="P20" s="419" t="str">
        <f t="shared" si="0"/>
        <v/>
      </c>
      <c r="Q20" s="420" t="str">
        <v/>
      </c>
      <c r="R20" s="421" t="str">
        <f t="shared" si="1"/>
        <v/>
      </c>
    </row>
    <row r="21" spans="2:18" ht="15.75" thickBot="1" x14ac:dyDescent="0.3">
      <c r="B21" s="277" t="s">
        <v>84</v>
      </c>
      <c r="C21" s="278">
        <v>46115</v>
      </c>
      <c r="D21" s="237"/>
      <c r="E21" s="279" t="s">
        <v>428</v>
      </c>
      <c r="F21" s="280">
        <v>43836</v>
      </c>
      <c r="G21" s="281" t="s">
        <v>172</v>
      </c>
      <c r="H21" s="281" t="s">
        <v>177</v>
      </c>
      <c r="I21" s="411">
        <f>WEEKDAY(tbl_staff_holidays[[#This Row],[Date]],1)</f>
        <v>2</v>
      </c>
      <c r="P21" s="419" t="str">
        <f t="shared" si="0"/>
        <v/>
      </c>
      <c r="Q21" s="420" t="str">
        <v/>
      </c>
      <c r="R21" s="421" t="str">
        <f t="shared" si="1"/>
        <v/>
      </c>
    </row>
    <row r="22" spans="2:18" ht="15.75" thickBot="1" x14ac:dyDescent="0.3">
      <c r="B22" s="277" t="s">
        <v>85</v>
      </c>
      <c r="C22" s="278">
        <v>46118</v>
      </c>
      <c r="D22" s="237"/>
      <c r="E22" s="279" t="s">
        <v>429</v>
      </c>
      <c r="F22" s="280">
        <v>43836</v>
      </c>
      <c r="G22" s="281" t="s">
        <v>172</v>
      </c>
      <c r="H22" s="281" t="s">
        <v>177</v>
      </c>
      <c r="I22" s="411">
        <f>WEEKDAY(tbl_staff_holidays[[#This Row],[Date]],1)</f>
        <v>2</v>
      </c>
      <c r="P22" s="419" t="str">
        <f t="shared" si="0"/>
        <v/>
      </c>
      <c r="Q22" s="420" t="str">
        <v/>
      </c>
      <c r="R22" s="421" t="str">
        <f t="shared" si="1"/>
        <v/>
      </c>
    </row>
    <row r="23" spans="2:18" ht="15.75" thickBot="1" x14ac:dyDescent="0.3">
      <c r="B23" s="277" t="s">
        <v>86</v>
      </c>
      <c r="C23" s="278">
        <v>46146</v>
      </c>
      <c r="D23" s="237"/>
      <c r="E23" s="279" t="s">
        <v>430</v>
      </c>
      <c r="F23" s="280">
        <v>43836</v>
      </c>
      <c r="G23" s="281" t="s">
        <v>172</v>
      </c>
      <c r="H23" s="281" t="s">
        <v>177</v>
      </c>
      <c r="I23" s="411">
        <f>WEEKDAY(tbl_staff_holidays[[#This Row],[Date]],1)</f>
        <v>2</v>
      </c>
      <c r="P23" s="419" t="str">
        <f t="shared" si="0"/>
        <v/>
      </c>
      <c r="Q23" s="420" t="str">
        <v/>
      </c>
      <c r="R23" s="421" t="str">
        <f t="shared" si="1"/>
        <v/>
      </c>
    </row>
    <row r="24" spans="2:18" ht="15.75" thickBot="1" x14ac:dyDescent="0.3">
      <c r="B24" s="277" t="s">
        <v>87</v>
      </c>
      <c r="C24" s="278">
        <v>46167</v>
      </c>
      <c r="D24" s="237"/>
      <c r="E24" s="279" t="s">
        <v>436</v>
      </c>
      <c r="F24" s="280">
        <v>43836</v>
      </c>
      <c r="G24" s="281" t="s">
        <v>172</v>
      </c>
      <c r="H24" s="281" t="s">
        <v>177</v>
      </c>
      <c r="I24" s="411">
        <f>WEEKDAY(tbl_staff_holidays[[#This Row],[Date]],1)</f>
        <v>2</v>
      </c>
      <c r="P24" s="419" t="str">
        <f t="shared" si="0"/>
        <v/>
      </c>
      <c r="Q24" s="420" t="str">
        <v/>
      </c>
      <c r="R24" s="421" t="str">
        <f t="shared" si="1"/>
        <v/>
      </c>
    </row>
    <row r="25" spans="2:18" ht="15.75" thickBot="1" x14ac:dyDescent="0.3">
      <c r="B25" s="277" t="s">
        <v>88</v>
      </c>
      <c r="C25" s="278">
        <v>46265</v>
      </c>
      <c r="D25" s="237"/>
      <c r="E25" s="279" t="s">
        <v>431</v>
      </c>
      <c r="F25" s="280">
        <v>43836</v>
      </c>
      <c r="G25" s="281" t="s">
        <v>172</v>
      </c>
      <c r="H25" s="281" t="s">
        <v>177</v>
      </c>
      <c r="I25" s="411">
        <f>WEEKDAY(tbl_staff_holidays[[#This Row],[Date]],1)</f>
        <v>2</v>
      </c>
      <c r="P25" s="419" t="str">
        <f t="shared" si="0"/>
        <v/>
      </c>
      <c r="Q25" s="420" t="str">
        <v/>
      </c>
      <c r="R25" s="421" t="str">
        <f t="shared" si="1"/>
        <v/>
      </c>
    </row>
    <row r="26" spans="2:18" ht="15.75" thickBot="1" x14ac:dyDescent="0.3">
      <c r="B26" s="277" t="s">
        <v>25</v>
      </c>
      <c r="C26" s="278">
        <v>46381</v>
      </c>
      <c r="D26" s="237"/>
      <c r="E26" s="279" t="s">
        <v>432</v>
      </c>
      <c r="F26" s="280">
        <v>43836</v>
      </c>
      <c r="G26" s="281" t="s">
        <v>172</v>
      </c>
      <c r="H26" s="281" t="s">
        <v>177</v>
      </c>
      <c r="I26" s="411">
        <f>WEEKDAY(tbl_staff_holidays[[#This Row],[Date]],1)</f>
        <v>2</v>
      </c>
      <c r="P26" s="419" t="str">
        <f t="shared" si="0"/>
        <v/>
      </c>
      <c r="Q26" s="420" t="str">
        <v/>
      </c>
      <c r="R26" s="421" t="str">
        <f t="shared" si="1"/>
        <v/>
      </c>
    </row>
    <row r="27" spans="2:18" ht="15.75" thickBot="1" x14ac:dyDescent="0.3">
      <c r="B27" s="283" t="s">
        <v>24</v>
      </c>
      <c r="C27" s="284">
        <v>46384</v>
      </c>
      <c r="D27" s="237"/>
      <c r="E27" s="279" t="s">
        <v>433</v>
      </c>
      <c r="F27" s="280">
        <v>43836</v>
      </c>
      <c r="G27" s="281" t="s">
        <v>172</v>
      </c>
      <c r="H27" s="281" t="s">
        <v>177</v>
      </c>
      <c r="I27" s="411">
        <f>WEEKDAY(tbl_staff_holidays[[#This Row],[Date]],1)</f>
        <v>2</v>
      </c>
      <c r="P27" s="422" t="str">
        <f t="shared" si="0"/>
        <v/>
      </c>
      <c r="Q27" s="423" t="str">
        <v/>
      </c>
      <c r="R27" s="424" t="str">
        <f t="shared" si="1"/>
        <v/>
      </c>
    </row>
    <row r="28" spans="2:18" ht="15.75" thickBot="1" x14ac:dyDescent="0.3">
      <c r="B28" s="237"/>
      <c r="C28" s="237"/>
      <c r="D28" s="237"/>
      <c r="E28" s="279" t="s">
        <v>434</v>
      </c>
      <c r="F28" s="280">
        <v>43836</v>
      </c>
      <c r="G28" s="281" t="s">
        <v>172</v>
      </c>
      <c r="H28" s="281" t="s">
        <v>177</v>
      </c>
      <c r="I28" s="411">
        <f>WEEKDAY(tbl_staff_holidays[[#This Row],[Date]],1)</f>
        <v>2</v>
      </c>
    </row>
    <row r="29" spans="2:18" ht="15.75" thickBot="1" x14ac:dyDescent="0.3">
      <c r="B29" s="237"/>
      <c r="C29" s="237"/>
      <c r="D29" s="237"/>
      <c r="E29" s="285" t="s">
        <v>435</v>
      </c>
      <c r="F29" s="286">
        <v>43836</v>
      </c>
      <c r="G29" s="287" t="s">
        <v>172</v>
      </c>
      <c r="H29" s="287" t="s">
        <v>177</v>
      </c>
      <c r="I29" s="412">
        <f>WEEKDAY(tbl_staff_holidays[[#This Row],[Date]],1)</f>
        <v>2</v>
      </c>
    </row>
    <row r="30" spans="2:18" ht="15.75" thickBot="1" x14ac:dyDescent="0.3">
      <c r="B30" s="237"/>
      <c r="C30" s="237"/>
      <c r="D30" s="237"/>
      <c r="E30" s="288" t="s">
        <v>286</v>
      </c>
      <c r="F30" s="289">
        <v>45618</v>
      </c>
      <c r="G30" s="290" t="s">
        <v>350</v>
      </c>
      <c r="H30" s="290"/>
      <c r="I30" s="413">
        <f>WEEKDAY(tbl_staff_holidays[[#This Row],[Date]],1)</f>
        <v>6</v>
      </c>
    </row>
    <row r="31" spans="2:18" ht="15.75" thickBot="1" x14ac:dyDescent="0.3">
      <c r="B31" s="237"/>
      <c r="C31" s="237"/>
      <c r="D31" s="237"/>
      <c r="E31" s="277" t="s">
        <v>286</v>
      </c>
      <c r="F31" s="291">
        <v>45628</v>
      </c>
      <c r="G31" s="290" t="s">
        <v>170</v>
      </c>
      <c r="H31" s="290" t="s">
        <v>381</v>
      </c>
      <c r="I31" s="414">
        <f>WEEKDAY(tbl_staff_holidays[[#This Row],[Date]],1)</f>
        <v>2</v>
      </c>
    </row>
    <row r="32" spans="2:18" ht="15.75" thickBot="1" x14ac:dyDescent="0.3">
      <c r="B32" s="237"/>
      <c r="C32" s="237"/>
      <c r="D32" s="237"/>
      <c r="E32" s="277" t="s">
        <v>286</v>
      </c>
      <c r="F32" s="291">
        <v>45629</v>
      </c>
      <c r="G32" s="290" t="s">
        <v>170</v>
      </c>
      <c r="H32" s="290" t="s">
        <v>381</v>
      </c>
      <c r="I32" s="414">
        <f>WEEKDAY(tbl_staff_holidays[[#This Row],[Date]],1)</f>
        <v>3</v>
      </c>
    </row>
    <row r="33" spans="2:9" ht="15.75" thickBot="1" x14ac:dyDescent="0.3">
      <c r="B33" s="237"/>
      <c r="C33" s="237"/>
      <c r="D33" s="237"/>
      <c r="E33" s="277" t="s">
        <v>286</v>
      </c>
      <c r="F33" s="291">
        <v>45644</v>
      </c>
      <c r="G33" s="290" t="s">
        <v>170</v>
      </c>
      <c r="H33" s="290" t="s">
        <v>382</v>
      </c>
      <c r="I33" s="414">
        <f>WEEKDAY(tbl_staff_holidays[[#This Row],[Date]],1)</f>
        <v>4</v>
      </c>
    </row>
    <row r="34" spans="2:9" ht="15.75" thickBot="1" x14ac:dyDescent="0.3">
      <c r="B34" s="237"/>
      <c r="C34" s="237"/>
      <c r="D34" s="237"/>
      <c r="E34" s="277" t="s">
        <v>293</v>
      </c>
      <c r="F34" s="291">
        <v>45645</v>
      </c>
      <c r="G34" s="290" t="s">
        <v>167</v>
      </c>
      <c r="H34" s="290"/>
      <c r="I34" s="414">
        <f>WEEKDAY(tbl_staff_holidays[[#This Row],[Date]],1)</f>
        <v>5</v>
      </c>
    </row>
    <row r="35" spans="2:9" ht="15.75" thickBot="1" x14ac:dyDescent="0.3">
      <c r="B35" s="237"/>
      <c r="C35" s="237"/>
      <c r="D35" s="237"/>
      <c r="E35" s="277" t="s">
        <v>293</v>
      </c>
      <c r="F35" s="291">
        <v>45646</v>
      </c>
      <c r="G35" s="290" t="s">
        <v>167</v>
      </c>
      <c r="H35" s="290"/>
      <c r="I35" s="414">
        <f>WEEKDAY(tbl_staff_holidays[[#This Row],[Date]],1)</f>
        <v>6</v>
      </c>
    </row>
    <row r="36" spans="2:9" ht="15.75" thickBot="1" x14ac:dyDescent="0.3">
      <c r="B36" s="237"/>
      <c r="C36" s="237"/>
      <c r="D36" s="237"/>
      <c r="E36" s="277" t="s">
        <v>293</v>
      </c>
      <c r="F36" s="291">
        <v>45651</v>
      </c>
      <c r="G36" s="290" t="s">
        <v>167</v>
      </c>
      <c r="H36" s="290"/>
      <c r="I36" s="414">
        <f>WEEKDAY(tbl_staff_holidays[[#This Row],[Date]],1)</f>
        <v>4</v>
      </c>
    </row>
    <row r="37" spans="2:9" ht="15.75" thickBot="1" x14ac:dyDescent="0.3">
      <c r="B37" s="237"/>
      <c r="C37" s="237"/>
      <c r="D37" s="237"/>
      <c r="E37" s="277" t="s">
        <v>281</v>
      </c>
      <c r="F37" s="291">
        <v>45656</v>
      </c>
      <c r="G37" s="292" t="s">
        <v>167</v>
      </c>
      <c r="H37" s="292"/>
      <c r="I37" s="414">
        <f>WEEKDAY(tbl_staff_holidays[[#This Row],[Date]],1)</f>
        <v>2</v>
      </c>
    </row>
    <row r="38" spans="2:9" ht="15.75" thickBot="1" x14ac:dyDescent="0.3">
      <c r="B38" s="237"/>
      <c r="C38" s="237"/>
      <c r="D38" s="237"/>
      <c r="E38" s="277" t="s">
        <v>281</v>
      </c>
      <c r="F38" s="291">
        <v>45657</v>
      </c>
      <c r="G38" s="290" t="s">
        <v>167</v>
      </c>
      <c r="H38" s="290"/>
      <c r="I38" s="414">
        <f>WEEKDAY(tbl_staff_holidays[[#This Row],[Date]],1)</f>
        <v>3</v>
      </c>
    </row>
    <row r="39" spans="2:9" ht="15.75" thickBot="1" x14ac:dyDescent="0.3">
      <c r="B39" s="237"/>
      <c r="C39" s="237"/>
      <c r="D39" s="237"/>
      <c r="E39" s="277" t="s">
        <v>281</v>
      </c>
      <c r="F39" s="291">
        <v>45659</v>
      </c>
      <c r="G39" s="290" t="s">
        <v>167</v>
      </c>
      <c r="H39" s="290"/>
      <c r="I39" s="414">
        <f>WEEKDAY(tbl_staff_holidays[[#This Row],[Date]],1)</f>
        <v>5</v>
      </c>
    </row>
    <row r="40" spans="2:9" ht="15.75" thickBot="1" x14ac:dyDescent="0.3">
      <c r="B40" s="237"/>
      <c r="C40" s="237"/>
      <c r="D40" s="237"/>
      <c r="E40" s="277" t="s">
        <v>280</v>
      </c>
      <c r="F40" s="291">
        <v>45663</v>
      </c>
      <c r="G40" s="290" t="s">
        <v>167</v>
      </c>
      <c r="H40" s="290"/>
      <c r="I40" s="414">
        <f>WEEKDAY(tbl_staff_holidays[[#This Row],[Date]],1)</f>
        <v>2</v>
      </c>
    </row>
    <row r="41" spans="2:9" ht="15.75" thickBot="1" x14ac:dyDescent="0.3">
      <c r="B41" s="237"/>
      <c r="C41" s="237"/>
      <c r="D41" s="237"/>
      <c r="E41" s="277" t="s">
        <v>281</v>
      </c>
      <c r="F41" s="291">
        <v>45664</v>
      </c>
      <c r="G41" s="290" t="s">
        <v>167</v>
      </c>
      <c r="H41" s="290"/>
      <c r="I41" s="414">
        <f>WEEKDAY(tbl_staff_holidays[[#This Row],[Date]],1)</f>
        <v>3</v>
      </c>
    </row>
    <row r="42" spans="2:9" ht="15.75" thickBot="1" x14ac:dyDescent="0.3">
      <c r="B42" s="237"/>
      <c r="C42" s="237"/>
      <c r="D42" s="237"/>
      <c r="E42" s="293" t="s">
        <v>282</v>
      </c>
      <c r="F42" s="294">
        <v>45665</v>
      </c>
      <c r="G42" s="290" t="s">
        <v>167</v>
      </c>
      <c r="H42" s="290"/>
      <c r="I42" s="415">
        <f>WEEKDAY(tbl_staff_holidays[[#This Row],[Date]],1)</f>
        <v>4</v>
      </c>
    </row>
    <row r="43" spans="2:9" ht="15.75" thickBot="1" x14ac:dyDescent="0.3">
      <c r="B43" s="237"/>
      <c r="C43" s="237"/>
      <c r="D43" s="237"/>
      <c r="E43" s="293" t="s">
        <v>283</v>
      </c>
      <c r="F43" s="294">
        <v>45666</v>
      </c>
      <c r="G43" s="292" t="s">
        <v>170</v>
      </c>
      <c r="H43" s="292" t="s">
        <v>279</v>
      </c>
      <c r="I43" s="415">
        <f>WEEKDAY(tbl_staff_holidays[[#This Row],[Date]],1)</f>
        <v>5</v>
      </c>
    </row>
    <row r="44" spans="2:9" ht="15.75" thickBot="1" x14ac:dyDescent="0.3">
      <c r="B44" s="237"/>
      <c r="C44" s="237"/>
      <c r="D44" s="237"/>
      <c r="E44" s="293" t="s">
        <v>284</v>
      </c>
      <c r="F44" s="294">
        <v>45667</v>
      </c>
      <c r="G44" s="292" t="s">
        <v>171</v>
      </c>
      <c r="H44" s="292" t="s">
        <v>279</v>
      </c>
      <c r="I44" s="415">
        <f>WEEKDAY(tbl_staff_holidays[[#This Row],[Date]],1)</f>
        <v>6</v>
      </c>
    </row>
    <row r="45" spans="2:9" ht="15.75" thickBot="1" x14ac:dyDescent="0.3">
      <c r="B45" s="237"/>
      <c r="C45" s="237"/>
      <c r="D45" s="237"/>
      <c r="E45" s="283" t="s">
        <v>285</v>
      </c>
      <c r="F45" s="295">
        <v>45668</v>
      </c>
      <c r="G45" s="296" t="s">
        <v>171</v>
      </c>
      <c r="H45" s="296" t="s">
        <v>279</v>
      </c>
      <c r="I45" s="416">
        <f>WEEKDAY(tbl_staff_holidays[[#This Row],[Date]],1)</f>
        <v>7</v>
      </c>
    </row>
    <row r="46" spans="2:9" ht="15.75" thickBot="1" x14ac:dyDescent="0.3">
      <c r="B46" s="237"/>
      <c r="C46" s="237"/>
      <c r="D46" s="237"/>
      <c r="E46" s="297" t="s">
        <v>286</v>
      </c>
      <c r="F46" s="294">
        <v>45670</v>
      </c>
      <c r="G46" s="292" t="s">
        <v>170</v>
      </c>
      <c r="H46" s="292"/>
      <c r="I46" s="417">
        <f>WEEKDAY(tbl_staff_holidays[[#This Row],[Date]],1)</f>
        <v>2</v>
      </c>
    </row>
    <row r="47" spans="2:9" ht="15.75" thickBot="1" x14ac:dyDescent="0.3">
      <c r="B47" s="237"/>
      <c r="C47" s="237"/>
      <c r="D47" s="237"/>
      <c r="E47" s="297" t="s">
        <v>287</v>
      </c>
      <c r="F47" s="294">
        <v>45670</v>
      </c>
      <c r="G47" s="292" t="s">
        <v>167</v>
      </c>
      <c r="H47" s="292"/>
      <c r="I47" s="417">
        <f>WEEKDAY(tbl_staff_holidays[[#This Row],[Date]],1)</f>
        <v>2</v>
      </c>
    </row>
    <row r="48" spans="2:9" ht="15.75" thickBot="1" x14ac:dyDescent="0.3">
      <c r="B48" s="237"/>
      <c r="C48" s="237"/>
      <c r="D48" s="237"/>
      <c r="E48" s="298" t="s">
        <v>288</v>
      </c>
      <c r="F48" s="294">
        <v>45671</v>
      </c>
      <c r="G48" s="292" t="s">
        <v>167</v>
      </c>
      <c r="H48" s="292"/>
      <c r="I48" s="418">
        <f>WEEKDAY(tbl_staff_holidays[[#This Row],[Date]],1)</f>
        <v>3</v>
      </c>
    </row>
    <row r="49" spans="2:9" ht="15.75" thickBot="1" x14ac:dyDescent="0.3">
      <c r="B49" s="237"/>
      <c r="C49" s="237"/>
      <c r="D49" s="237"/>
      <c r="E49" s="298" t="s">
        <v>289</v>
      </c>
      <c r="F49" s="294">
        <v>45672</v>
      </c>
      <c r="G49" s="292" t="s">
        <v>167</v>
      </c>
      <c r="H49" s="292"/>
      <c r="I49" s="418">
        <f>WEEKDAY(tbl_staff_holidays[[#This Row],[Date]],1)</f>
        <v>4</v>
      </c>
    </row>
    <row r="50" spans="2:9" ht="15.75" thickBot="1" x14ac:dyDescent="0.3">
      <c r="B50" s="237"/>
      <c r="C50" s="237"/>
      <c r="D50" s="237"/>
      <c r="E50" s="298" t="s">
        <v>290</v>
      </c>
      <c r="F50" s="294">
        <v>45673</v>
      </c>
      <c r="G50" s="292" t="s">
        <v>167</v>
      </c>
      <c r="H50" s="292"/>
      <c r="I50" s="418">
        <f>WEEKDAY(tbl_staff_holidays[[#This Row],[Date]],1)</f>
        <v>5</v>
      </c>
    </row>
    <row r="51" spans="2:9" ht="15.75" thickBot="1" x14ac:dyDescent="0.3">
      <c r="B51" s="237"/>
      <c r="C51" s="237"/>
      <c r="D51" s="237"/>
      <c r="E51" s="298" t="s">
        <v>291</v>
      </c>
      <c r="F51" s="294">
        <v>45674</v>
      </c>
      <c r="G51" s="292" t="s">
        <v>167</v>
      </c>
      <c r="H51" s="292"/>
      <c r="I51" s="418">
        <f>WEEKDAY(tbl_staff_holidays[[#This Row],[Date]],1)</f>
        <v>6</v>
      </c>
    </row>
    <row r="52" spans="2:9" ht="15.75" thickBot="1" x14ac:dyDescent="0.3">
      <c r="B52" s="237"/>
      <c r="C52" s="237"/>
      <c r="D52" s="237"/>
      <c r="E52" s="298" t="s">
        <v>292</v>
      </c>
      <c r="F52" s="294">
        <v>45675</v>
      </c>
      <c r="G52" s="292" t="s">
        <v>167</v>
      </c>
      <c r="H52" s="292"/>
      <c r="I52" s="418">
        <f>WEEKDAY(tbl_staff_holidays[[#This Row],[Date]],1)</f>
        <v>7</v>
      </c>
    </row>
    <row r="53" spans="2:9" ht="15.75" thickBot="1" x14ac:dyDescent="0.3">
      <c r="B53" s="237"/>
      <c r="C53" s="237"/>
      <c r="D53" s="237"/>
      <c r="E53" s="298" t="s">
        <v>294</v>
      </c>
      <c r="F53" s="294">
        <v>45686</v>
      </c>
      <c r="G53" s="292" t="s">
        <v>167</v>
      </c>
      <c r="H53" s="292"/>
      <c r="I53" s="418">
        <f>WEEKDAY(tbl_staff_holidays[[#This Row],[Date]],1)</f>
        <v>4</v>
      </c>
    </row>
    <row r="54" spans="2:9" ht="15.75" thickBot="1" x14ac:dyDescent="0.3">
      <c r="B54" s="237"/>
      <c r="C54" s="237"/>
      <c r="D54" s="237"/>
      <c r="E54" s="298" t="s">
        <v>294</v>
      </c>
      <c r="F54" s="294">
        <v>45687</v>
      </c>
      <c r="G54" s="292" t="s">
        <v>167</v>
      </c>
      <c r="H54" s="292"/>
      <c r="I54" s="418">
        <f>WEEKDAY(tbl_staff_holidays[[#This Row],[Date]],1)</f>
        <v>5</v>
      </c>
    </row>
    <row r="55" spans="2:9" ht="15.75" thickBot="1" x14ac:dyDescent="0.3">
      <c r="B55" s="237"/>
      <c r="C55" s="237"/>
      <c r="D55" s="237"/>
      <c r="E55" s="298" t="s">
        <v>294</v>
      </c>
      <c r="F55" s="294">
        <v>45688</v>
      </c>
      <c r="G55" s="292" t="s">
        <v>167</v>
      </c>
      <c r="H55" s="292"/>
      <c r="I55" s="418">
        <f>WEEKDAY(tbl_staff_holidays[[#This Row],[Date]],1)</f>
        <v>6</v>
      </c>
    </row>
    <row r="56" spans="2:9" ht="15.75" thickBot="1" x14ac:dyDescent="0.3">
      <c r="B56" s="237"/>
      <c r="C56" s="237"/>
      <c r="D56" s="237"/>
      <c r="E56" s="298" t="s">
        <v>294</v>
      </c>
      <c r="F56" s="294">
        <v>45691</v>
      </c>
      <c r="G56" s="292" t="s">
        <v>167</v>
      </c>
      <c r="H56" s="292"/>
      <c r="I56" s="418">
        <f>WEEKDAY(tbl_staff_holidays[[#This Row],[Date]],1)</f>
        <v>2</v>
      </c>
    </row>
    <row r="57" spans="2:9" ht="15.75" thickBot="1" x14ac:dyDescent="0.3">
      <c r="B57" s="237"/>
      <c r="C57" s="237"/>
      <c r="D57" s="237"/>
      <c r="E57" s="298" t="s">
        <v>294</v>
      </c>
      <c r="F57" s="294">
        <v>45692</v>
      </c>
      <c r="G57" s="292" t="s">
        <v>167</v>
      </c>
      <c r="H57" s="292"/>
      <c r="I57" s="418">
        <f>WEEKDAY(tbl_staff_holidays[[#This Row],[Date]],1)</f>
        <v>3</v>
      </c>
    </row>
    <row r="58" spans="2:9" ht="15.75" thickBot="1" x14ac:dyDescent="0.3">
      <c r="B58" s="237"/>
      <c r="C58" s="237"/>
      <c r="D58" s="237"/>
      <c r="E58" s="297" t="s">
        <v>294</v>
      </c>
      <c r="F58" s="294">
        <v>45693</v>
      </c>
      <c r="G58" s="292" t="s">
        <v>167</v>
      </c>
      <c r="H58" s="292"/>
      <c r="I58" s="417">
        <f>WEEKDAY(tbl_staff_holidays[[#This Row],[Date]],1)</f>
        <v>4</v>
      </c>
    </row>
    <row r="59" spans="2:9" x14ac:dyDescent="0.25">
      <c r="E59" s="297" t="s">
        <v>294</v>
      </c>
      <c r="F59" s="294">
        <v>45694</v>
      </c>
      <c r="G59" s="292" t="s">
        <v>167</v>
      </c>
      <c r="H59" s="292"/>
      <c r="I59" s="417">
        <f>WEEKDAY(tbl_staff_holidays[[#This Row],[Date]],1)</f>
        <v>5</v>
      </c>
    </row>
  </sheetData>
  <sheetProtection formatCells="0" formatColumns="0" formatRows="0" insertRows="0" deleteRows="0" sort="0" autoFilter="0"/>
  <protectedRanges>
    <protectedRange sqref="B2:I2683" name="Holidays_Sort"/>
    <protectedRange sqref="E4:I500" name="Holidays_Staff"/>
    <protectedRange sqref="B4:C100" name="Holidays_Bank"/>
    <protectedRange sqref="N3:N6" name="Holidays_Date_Gen"/>
  </protectedRanges>
  <conditionalFormatting sqref="O4 N5">
    <cfRule type="expression" dxfId="12" priority="1">
      <formula>AND(N3&lt;&gt;"", #REF!&lt;&gt;"", VLOOKUP(N3, $C$2:$D$4, 2, FALSE)&lt;&gt;#REF!)</formula>
    </cfRule>
  </conditionalFormatting>
  <dataValidations count="2">
    <dataValidation type="list" allowBlank="1" showInputMessage="1" showErrorMessage="1" sqref="O5 N6 G3:G59" xr:uid="{1CF0A65A-A3B7-470A-AE62-AAC2CEC84D3F}">
      <formula1>holiday_types</formula1>
    </dataValidation>
    <dataValidation type="list" allowBlank="1" showInputMessage="1" showErrorMessage="1" sqref="E3:E59 N5 O4" xr:uid="{E20EC7A2-64F0-455C-8AF4-A17F21BD4214}">
      <formula1>Staff</formula1>
    </dataValidation>
  </dataValidation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4A0B-9886-4C5F-B2A9-A0CC0C27A625}">
  <dimension ref="A1:J31"/>
  <sheetViews>
    <sheetView topLeftCell="A2" zoomScaleNormal="100" workbookViewId="0">
      <selection activeCell="C31" sqref="C31"/>
    </sheetView>
  </sheetViews>
  <sheetFormatPr defaultRowHeight="15" x14ac:dyDescent="0.25"/>
  <cols>
    <col min="1" max="1" width="2.42578125" customWidth="1"/>
    <col min="2" max="2" width="16.42578125" bestFit="1" customWidth="1"/>
    <col min="3" max="3" width="12" bestFit="1" customWidth="1"/>
    <col min="4" max="4" width="18.85546875" bestFit="1" customWidth="1"/>
    <col min="5" max="5" width="10.5703125" hidden="1" customWidth="1"/>
    <col min="6" max="6" width="3" customWidth="1"/>
    <col min="7" max="7" width="19" bestFit="1" customWidth="1"/>
    <col min="8" max="8" width="10.5703125" customWidth="1"/>
    <col min="9" max="9" width="10.42578125" hidden="1" customWidth="1"/>
    <col min="10" max="10" width="2.42578125" customWidth="1"/>
  </cols>
  <sheetData>
    <row r="1" spans="1:10" ht="19.5" thickBot="1" x14ac:dyDescent="0.3">
      <c r="A1" s="125"/>
      <c r="B1" s="210" t="s">
        <v>179</v>
      </c>
      <c r="C1" s="228"/>
      <c r="D1" s="203"/>
      <c r="E1" s="124"/>
      <c r="F1" s="125"/>
      <c r="G1" s="501" t="s">
        <v>388</v>
      </c>
      <c r="H1" s="502"/>
      <c r="I1" s="503"/>
      <c r="J1" s="125"/>
    </row>
    <row r="2" spans="1:10" ht="15.75" thickBot="1" x14ac:dyDescent="0.3">
      <c r="B2" s="108" t="s">
        <v>97</v>
      </c>
      <c r="C2" s="227" t="s">
        <v>399</v>
      </c>
      <c r="D2" s="109" t="s">
        <v>98</v>
      </c>
      <c r="E2" s="113" t="s">
        <v>318</v>
      </c>
      <c r="G2" t="s">
        <v>298</v>
      </c>
      <c r="H2" s="139" t="s">
        <v>325</v>
      </c>
      <c r="I2" t="s">
        <v>317</v>
      </c>
    </row>
    <row r="3" spans="1:10" ht="15.75" thickBot="1" x14ac:dyDescent="0.3">
      <c r="B3" s="110" t="s">
        <v>99</v>
      </c>
      <c r="C3" s="229">
        <v>10</v>
      </c>
      <c r="D3" s="114" t="s">
        <v>316</v>
      </c>
      <c r="E3" s="136" t="str">
        <f>_xlfn.XLOOKUP(tbl_staff_list[[#This Row],[Role]],tbl_roles[Roles],tbl_roles[ColRef])</f>
        <v>RoleRef_1</v>
      </c>
      <c r="G3" s="220" t="s">
        <v>316</v>
      </c>
      <c r="H3" s="221" t="s">
        <v>336</v>
      </c>
      <c r="I3" s="157" t="str">
        <f t="shared" ref="I3:I22" si="0">"RoleRef" &amp; "_" &amp; ROW()-2</f>
        <v>RoleRef_1</v>
      </c>
      <c r="J3" s="132"/>
    </row>
    <row r="4" spans="1:10" ht="15.75" thickBot="1" x14ac:dyDescent="0.3">
      <c r="B4" s="112" t="s">
        <v>289</v>
      </c>
      <c r="C4" s="230">
        <v>10</v>
      </c>
      <c r="D4" s="135" t="s">
        <v>108</v>
      </c>
      <c r="E4" t="str">
        <f>_xlfn.XLOOKUP(tbl_staff_list[[#This Row],[Role]],tbl_roles[Roles],tbl_roles[ColRef])</f>
        <v>RoleRef_10</v>
      </c>
      <c r="G4" s="222" t="s">
        <v>107</v>
      </c>
      <c r="H4" s="223" t="s">
        <v>337</v>
      </c>
      <c r="I4" s="131" t="str">
        <f t="shared" si="0"/>
        <v>RoleRef_2</v>
      </c>
      <c r="J4" s="132"/>
    </row>
    <row r="5" spans="1:10" ht="15.75" thickBot="1" x14ac:dyDescent="0.3">
      <c r="B5" s="111" t="s">
        <v>290</v>
      </c>
      <c r="C5" s="231">
        <v>20</v>
      </c>
      <c r="D5" s="115" t="s">
        <v>106</v>
      </c>
      <c r="E5" t="str">
        <f>_xlfn.XLOOKUP(tbl_staff_list[[#This Row],[Role]],tbl_roles[Roles],tbl_roles[ColRef])</f>
        <v>RoleRef_11</v>
      </c>
      <c r="G5" s="222" t="s">
        <v>112</v>
      </c>
      <c r="H5" s="223" t="s">
        <v>338</v>
      </c>
      <c r="I5" s="131" t="str">
        <f t="shared" si="0"/>
        <v>RoleRef_3</v>
      </c>
      <c r="J5" s="132"/>
    </row>
    <row r="6" spans="1:10" ht="15.75" thickBot="1" x14ac:dyDescent="0.3">
      <c r="B6" s="111" t="s">
        <v>295</v>
      </c>
      <c r="C6" s="231">
        <v>17.5</v>
      </c>
      <c r="D6" s="115" t="s">
        <v>106</v>
      </c>
      <c r="E6" t="str">
        <f>_xlfn.XLOOKUP(tbl_staff_list[[#This Row],[Role]],tbl_roles[Roles],tbl_roles[ColRef])</f>
        <v>RoleRef_11</v>
      </c>
      <c r="G6" s="222" t="s">
        <v>114</v>
      </c>
      <c r="H6" s="223" t="s">
        <v>339</v>
      </c>
      <c r="I6" s="131" t="str">
        <f t="shared" si="0"/>
        <v>RoleRef_4</v>
      </c>
      <c r="J6" s="132"/>
    </row>
    <row r="7" spans="1:10" ht="15.75" thickBot="1" x14ac:dyDescent="0.3">
      <c r="B7" s="111" t="s">
        <v>296</v>
      </c>
      <c r="C7" s="231">
        <v>22.6</v>
      </c>
      <c r="D7" s="115" t="s">
        <v>110</v>
      </c>
      <c r="E7" t="str">
        <f>_xlfn.XLOOKUP(tbl_staff_list[[#This Row],[Role]],tbl_roles[Roles],tbl_roles[ColRef])</f>
        <v>RoleRef_12</v>
      </c>
      <c r="G7" s="222" t="s">
        <v>109</v>
      </c>
      <c r="H7" s="223" t="s">
        <v>340</v>
      </c>
      <c r="I7" s="131" t="str">
        <f t="shared" si="0"/>
        <v>RoleRef_5</v>
      </c>
      <c r="J7" s="132"/>
    </row>
    <row r="8" spans="1:10" ht="15.75" thickBot="1" x14ac:dyDescent="0.3">
      <c r="B8" s="111" t="s">
        <v>280</v>
      </c>
      <c r="C8" s="231">
        <v>30</v>
      </c>
      <c r="D8" s="115" t="s">
        <v>107</v>
      </c>
      <c r="E8" t="str">
        <f>_xlfn.XLOOKUP(tbl_staff_list[[#This Row],[Role]],tbl_roles[Roles],tbl_roles[ColRef])</f>
        <v>RoleRef_2</v>
      </c>
      <c r="G8" s="222" t="s">
        <v>113</v>
      </c>
      <c r="H8" s="223" t="s">
        <v>341</v>
      </c>
      <c r="I8" s="131" t="str">
        <f t="shared" si="0"/>
        <v>RoleRef_6</v>
      </c>
      <c r="J8" s="132"/>
    </row>
    <row r="9" spans="1:10" ht="15.75" thickBot="1" x14ac:dyDescent="0.3">
      <c r="B9" s="111" t="s">
        <v>281</v>
      </c>
      <c r="C9" s="231">
        <v>32</v>
      </c>
      <c r="D9" s="115" t="s">
        <v>112</v>
      </c>
      <c r="E9" t="str">
        <f>_xlfn.XLOOKUP(tbl_staff_list[[#This Row],[Role]],tbl_roles[Roles],tbl_roles[ColRef])</f>
        <v>RoleRef_3</v>
      </c>
      <c r="G9" s="222" t="s">
        <v>115</v>
      </c>
      <c r="H9" s="223" t="s">
        <v>342</v>
      </c>
      <c r="I9" s="131" t="str">
        <f t="shared" si="0"/>
        <v>RoleRef_7</v>
      </c>
      <c r="J9" s="132"/>
    </row>
    <row r="10" spans="1:10" ht="15.75" thickBot="1" x14ac:dyDescent="0.3">
      <c r="B10" s="111" t="s">
        <v>282</v>
      </c>
      <c r="C10" s="231">
        <v>25</v>
      </c>
      <c r="D10" s="115" t="s">
        <v>114</v>
      </c>
      <c r="E10" t="str">
        <f>_xlfn.XLOOKUP(tbl_staff_list[[#This Row],[Role]],tbl_roles[Roles],tbl_roles[ColRef])</f>
        <v>RoleRef_4</v>
      </c>
      <c r="G10" s="222" t="s">
        <v>105</v>
      </c>
      <c r="H10" s="223" t="s">
        <v>343</v>
      </c>
      <c r="I10" s="131" t="str">
        <f t="shared" si="0"/>
        <v>RoleRef_8</v>
      </c>
      <c r="J10" s="132"/>
    </row>
    <row r="11" spans="1:10" ht="15.75" thickBot="1" x14ac:dyDescent="0.3">
      <c r="B11" s="111" t="s">
        <v>283</v>
      </c>
      <c r="C11" s="231">
        <v>25</v>
      </c>
      <c r="D11" s="115" t="s">
        <v>109</v>
      </c>
      <c r="E11" t="str">
        <f>_xlfn.XLOOKUP(tbl_staff_list[[#This Row],[Role]],tbl_roles[Roles],tbl_roles[ColRef])</f>
        <v>RoleRef_5</v>
      </c>
      <c r="G11" s="222" t="s">
        <v>111</v>
      </c>
      <c r="H11" s="223" t="s">
        <v>344</v>
      </c>
      <c r="I11" s="131" t="str">
        <f t="shared" si="0"/>
        <v>RoleRef_9</v>
      </c>
      <c r="J11" s="132"/>
    </row>
    <row r="12" spans="1:10" ht="15.75" thickBot="1" x14ac:dyDescent="0.3">
      <c r="B12" s="111" t="s">
        <v>284</v>
      </c>
      <c r="C12" s="231">
        <v>25</v>
      </c>
      <c r="D12" s="115" t="s">
        <v>113</v>
      </c>
      <c r="E12" t="str">
        <f>_xlfn.XLOOKUP(tbl_staff_list[[#This Row],[Role]],tbl_roles[Roles],tbl_roles[ColRef])</f>
        <v>RoleRef_6</v>
      </c>
      <c r="G12" s="222" t="s">
        <v>108</v>
      </c>
      <c r="H12" s="223" t="s">
        <v>345</v>
      </c>
      <c r="I12" s="131" t="str">
        <f t="shared" si="0"/>
        <v>RoleRef_10</v>
      </c>
      <c r="J12" s="132"/>
    </row>
    <row r="13" spans="1:10" ht="15.75" thickBot="1" x14ac:dyDescent="0.3">
      <c r="B13" s="111" t="s">
        <v>293</v>
      </c>
      <c r="C13" s="231">
        <v>27</v>
      </c>
      <c r="D13" s="115" t="s">
        <v>113</v>
      </c>
      <c r="E13" t="str">
        <f>_xlfn.XLOOKUP(tbl_staff_list[[#This Row],[Role]],tbl_roles[Roles],tbl_roles[ColRef])</f>
        <v>RoleRef_6</v>
      </c>
      <c r="G13" s="222" t="s">
        <v>106</v>
      </c>
      <c r="H13" s="223" t="s">
        <v>346</v>
      </c>
      <c r="I13" s="131" t="str">
        <f t="shared" si="0"/>
        <v>RoleRef_11</v>
      </c>
      <c r="J13" s="132"/>
    </row>
    <row r="14" spans="1:10" ht="15.75" thickBot="1" x14ac:dyDescent="0.3">
      <c r="B14" s="111" t="s">
        <v>285</v>
      </c>
      <c r="C14" s="231">
        <v>30</v>
      </c>
      <c r="D14" s="115" t="s">
        <v>115</v>
      </c>
      <c r="E14" t="str">
        <f>_xlfn.XLOOKUP(tbl_staff_list[[#This Row],[Role]],tbl_roles[Roles],tbl_roles[ColRef])</f>
        <v>RoleRef_7</v>
      </c>
      <c r="G14" s="222" t="s">
        <v>110</v>
      </c>
      <c r="H14" s="223" t="s">
        <v>347</v>
      </c>
      <c r="I14" s="131" t="str">
        <f t="shared" si="0"/>
        <v>RoleRef_12</v>
      </c>
      <c r="J14" s="132"/>
    </row>
    <row r="15" spans="1:10" ht="15.75" thickBot="1" x14ac:dyDescent="0.3">
      <c r="B15" s="111" t="s">
        <v>286</v>
      </c>
      <c r="C15" s="231">
        <v>32</v>
      </c>
      <c r="D15" s="115" t="s">
        <v>105</v>
      </c>
      <c r="E15" t="str">
        <f>_xlfn.XLOOKUP(tbl_staff_list[[#This Row],[Role]],tbl_roles[Roles],tbl_roles[ColRef])</f>
        <v>RoleRef_8</v>
      </c>
      <c r="G15" s="222" t="s">
        <v>299</v>
      </c>
      <c r="H15" s="223" t="s">
        <v>348</v>
      </c>
      <c r="I15" s="131" t="str">
        <f t="shared" si="0"/>
        <v>RoleRef_13</v>
      </c>
      <c r="J15" s="132"/>
    </row>
    <row r="16" spans="1:10" ht="15.75" thickBot="1" x14ac:dyDescent="0.3">
      <c r="B16" s="111" t="s">
        <v>288</v>
      </c>
      <c r="C16" s="231">
        <v>30</v>
      </c>
      <c r="D16" s="115" t="s">
        <v>111</v>
      </c>
      <c r="E16" t="str">
        <f>_xlfn.XLOOKUP(tbl_staff_list[[#This Row],[Role]],tbl_roles[Roles],tbl_roles[ColRef])</f>
        <v>RoleRef_9</v>
      </c>
      <c r="G16" s="222" t="s">
        <v>315</v>
      </c>
      <c r="H16" s="223" t="s">
        <v>326</v>
      </c>
      <c r="I16" s="131" t="str">
        <f t="shared" si="0"/>
        <v>RoleRef_14</v>
      </c>
      <c r="J16" s="132"/>
    </row>
    <row r="17" spans="2:10" ht="15.75" thickBot="1" x14ac:dyDescent="0.3">
      <c r="B17" s="111" t="s">
        <v>294</v>
      </c>
      <c r="C17" s="231">
        <v>27</v>
      </c>
      <c r="D17" s="115" t="s">
        <v>111</v>
      </c>
      <c r="E17" t="str">
        <f>_xlfn.XLOOKUP(tbl_staff_list[[#This Row],[Role]],tbl_roles[Roles],tbl_roles[ColRef])</f>
        <v>RoleRef_9</v>
      </c>
      <c r="G17" s="222" t="s">
        <v>309</v>
      </c>
      <c r="H17" s="223" t="s">
        <v>327</v>
      </c>
      <c r="I17" s="131" t="str">
        <f t="shared" si="0"/>
        <v>RoleRef_15</v>
      </c>
      <c r="J17" s="132"/>
    </row>
    <row r="18" spans="2:10" ht="15.75" thickBot="1" x14ac:dyDescent="0.3">
      <c r="B18" s="226" t="s">
        <v>421</v>
      </c>
      <c r="C18" s="230">
        <v>15</v>
      </c>
      <c r="D18" s="226" t="s">
        <v>313</v>
      </c>
      <c r="E18" t="str">
        <f>_xlfn.XLOOKUP(tbl_staff_list[[#This Row],[Role]],tbl_roles[Roles],tbl_roles[ColRef])</f>
        <v>RoleRef_16</v>
      </c>
      <c r="G18" s="222" t="s">
        <v>313</v>
      </c>
      <c r="H18" s="223" t="s">
        <v>328</v>
      </c>
      <c r="I18" s="131" t="str">
        <f t="shared" si="0"/>
        <v>RoleRef_16</v>
      </c>
      <c r="J18" s="132"/>
    </row>
    <row r="19" spans="2:10" ht="15.75" thickBot="1" x14ac:dyDescent="0.3">
      <c r="B19" s="257" t="s">
        <v>425</v>
      </c>
      <c r="C19" s="231">
        <v>40</v>
      </c>
      <c r="D19" s="257" t="s">
        <v>107</v>
      </c>
      <c r="E19" t="str">
        <f>_xlfn.XLOOKUP(tbl_staff_list[[#This Row],[Role]],tbl_roles[Roles],tbl_roles[ColRef])</f>
        <v>RoleRef_2</v>
      </c>
      <c r="G19" s="222" t="s">
        <v>310</v>
      </c>
      <c r="H19" s="223" t="s">
        <v>329</v>
      </c>
      <c r="I19" s="131" t="str">
        <f t="shared" si="0"/>
        <v>RoleRef_17</v>
      </c>
      <c r="J19" s="132"/>
    </row>
    <row r="20" spans="2:10" ht="15.75" thickBot="1" x14ac:dyDescent="0.3">
      <c r="B20" s="257" t="s">
        <v>426</v>
      </c>
      <c r="C20" s="231">
        <v>35</v>
      </c>
      <c r="D20" s="257" t="s">
        <v>112</v>
      </c>
      <c r="E20" t="str">
        <f>_xlfn.XLOOKUP(tbl_staff_list[[#This Row],[Role]],tbl_roles[Roles],tbl_roles[ColRef])</f>
        <v>RoleRef_3</v>
      </c>
      <c r="G20" s="222" t="s">
        <v>311</v>
      </c>
      <c r="H20" s="223" t="s">
        <v>330</v>
      </c>
      <c r="I20" s="131" t="str">
        <f t="shared" si="0"/>
        <v>RoleRef_18</v>
      </c>
      <c r="J20" s="132"/>
    </row>
    <row r="21" spans="2:10" ht="15.75" thickBot="1" x14ac:dyDescent="0.3">
      <c r="B21" s="257" t="s">
        <v>427</v>
      </c>
      <c r="C21" s="231">
        <v>32</v>
      </c>
      <c r="D21" s="257" t="s">
        <v>114</v>
      </c>
      <c r="E21" t="str">
        <f>_xlfn.XLOOKUP(tbl_staff_list[[#This Row],[Role]],tbl_roles[Roles],tbl_roles[ColRef])</f>
        <v>RoleRef_4</v>
      </c>
      <c r="G21" s="222" t="s">
        <v>314</v>
      </c>
      <c r="H21" s="223" t="s">
        <v>349</v>
      </c>
      <c r="I21" s="131" t="str">
        <f t="shared" si="0"/>
        <v>RoleRef_19</v>
      </c>
      <c r="J21" s="132"/>
    </row>
    <row r="22" spans="2:10" ht="15.75" thickBot="1" x14ac:dyDescent="0.3">
      <c r="B22" s="257" t="s">
        <v>428</v>
      </c>
      <c r="C22" s="231">
        <v>34</v>
      </c>
      <c r="D22" s="257" t="s">
        <v>109</v>
      </c>
      <c r="E22" t="str">
        <f>_xlfn.XLOOKUP(tbl_staff_list[[#This Row],[Role]],tbl_roles[Roles],tbl_roles[ColRef])</f>
        <v>RoleRef_5</v>
      </c>
      <c r="G22" s="224" t="s">
        <v>351</v>
      </c>
      <c r="H22" s="225" t="s">
        <v>312</v>
      </c>
      <c r="I22" s="133" t="str">
        <f t="shared" si="0"/>
        <v>RoleRef_20</v>
      </c>
      <c r="J22" s="132"/>
    </row>
    <row r="23" spans="2:10" ht="15.75" thickBot="1" x14ac:dyDescent="0.3">
      <c r="B23" s="257" t="s">
        <v>429</v>
      </c>
      <c r="C23" s="231">
        <v>32</v>
      </c>
      <c r="D23" s="257" t="s">
        <v>113</v>
      </c>
      <c r="E23" t="str">
        <f>_xlfn.XLOOKUP(tbl_staff_list[[#This Row],[Role]],tbl_roles[Roles],tbl_roles[ColRef])</f>
        <v>RoleRef_6</v>
      </c>
    </row>
    <row r="24" spans="2:10" ht="15.75" thickBot="1" x14ac:dyDescent="0.3">
      <c r="B24" s="257" t="s">
        <v>430</v>
      </c>
      <c r="C24" s="231">
        <v>36</v>
      </c>
      <c r="D24" s="257" t="s">
        <v>115</v>
      </c>
      <c r="E24" t="str">
        <f>_xlfn.XLOOKUP(tbl_staff_list[[#This Row],[Role]],tbl_roles[Roles],tbl_roles[ColRef])</f>
        <v>RoleRef_7</v>
      </c>
    </row>
    <row r="25" spans="2:10" ht="15.75" thickBot="1" x14ac:dyDescent="0.3">
      <c r="B25" s="257" t="s">
        <v>446</v>
      </c>
      <c r="C25" s="231">
        <v>38</v>
      </c>
      <c r="D25" s="257" t="s">
        <v>105</v>
      </c>
      <c r="E25" t="str">
        <f>_xlfn.XLOOKUP(tbl_staff_list[[#This Row],[Role]],tbl_roles[Roles],tbl_roles[ColRef])</f>
        <v>RoleRef_8</v>
      </c>
    </row>
    <row r="26" spans="2:10" ht="15.75" thickBot="1" x14ac:dyDescent="0.3">
      <c r="B26" s="257" t="s">
        <v>431</v>
      </c>
      <c r="C26" s="231">
        <v>35</v>
      </c>
      <c r="D26" s="257" t="s">
        <v>111</v>
      </c>
      <c r="E26" t="str">
        <f>_xlfn.XLOOKUP(tbl_staff_list[[#This Row],[Role]],tbl_roles[Roles],tbl_roles[ColRef])</f>
        <v>RoleRef_9</v>
      </c>
    </row>
    <row r="27" spans="2:10" ht="15.75" thickBot="1" x14ac:dyDescent="0.3">
      <c r="B27" s="257" t="s">
        <v>432</v>
      </c>
      <c r="C27" s="231">
        <v>40</v>
      </c>
      <c r="D27" s="257" t="s">
        <v>108</v>
      </c>
      <c r="E27" t="str">
        <f>_xlfn.XLOOKUP(tbl_staff_list[[#This Row],[Role]],tbl_roles[Roles],tbl_roles[ColRef])</f>
        <v>RoleRef_10</v>
      </c>
    </row>
    <row r="28" spans="2:10" ht="15.75" thickBot="1" x14ac:dyDescent="0.3">
      <c r="B28" s="257" t="s">
        <v>433</v>
      </c>
      <c r="C28" s="231">
        <v>28</v>
      </c>
      <c r="D28" s="257" t="s">
        <v>106</v>
      </c>
      <c r="E28" t="str">
        <f>_xlfn.XLOOKUP(tbl_staff_list[[#This Row],[Role]],tbl_roles[Roles],tbl_roles[ColRef])</f>
        <v>RoleRef_11</v>
      </c>
    </row>
    <row r="29" spans="2:10" ht="15.75" thickBot="1" x14ac:dyDescent="0.3">
      <c r="B29" s="257" t="s">
        <v>434</v>
      </c>
      <c r="C29" s="231">
        <v>310</v>
      </c>
      <c r="D29" s="257" t="s">
        <v>110</v>
      </c>
      <c r="E29" t="str">
        <f>_xlfn.XLOOKUP(tbl_staff_list[[#This Row],[Role]],tbl_roles[Roles],tbl_roles[ColRef])</f>
        <v>RoleRef_12</v>
      </c>
    </row>
    <row r="30" spans="2:10" ht="15.75" thickBot="1" x14ac:dyDescent="0.3">
      <c r="B30" s="226" t="s">
        <v>435</v>
      </c>
      <c r="C30" s="230">
        <v>33</v>
      </c>
      <c r="D30" s="226" t="s">
        <v>299</v>
      </c>
      <c r="E30" t="str">
        <f>_xlfn.XLOOKUP(tbl_staff_list[[#This Row],[Role]],tbl_roles[Roles],tbl_roles[ColRef])</f>
        <v>RoleRef_13</v>
      </c>
    </row>
    <row r="31" spans="2:10" ht="15.75" thickBot="1" x14ac:dyDescent="0.3">
      <c r="B31" s="257"/>
      <c r="C31" s="231"/>
      <c r="D31" s="226"/>
      <c r="E31" t="e">
        <f>_xlfn.XLOOKUP(tbl_staff_list[[#This Row],[Role]],tbl_roles[Roles],tbl_roles[ColRef])</f>
        <v>#N/A</v>
      </c>
    </row>
  </sheetData>
  <sheetProtection formatCells="0" formatColumns="0" formatRows="0" insertColumns="0" insertRows="0" insertHyperlinks="0" deleteColumns="0" deleteRows="0" sort="0" autoFilter="0" pivotTables="0"/>
  <protectedRanges>
    <protectedRange sqref="B4:D397" name="Range5"/>
    <protectedRange sqref="B4:I100 I3 E3:F3 B2:I2 E1:F1 D1" name="staff_sort"/>
    <protectedRange sqref="B4:D50" name="Staff_List"/>
    <protectedRange sqref="G4:H22" name="Staff_Roles"/>
    <protectedRange sqref="C3" name="staff_dailyrate_unassigned"/>
  </protectedRanges>
  <mergeCells count="1">
    <mergeCell ref="G1:I1"/>
  </mergeCells>
  <conditionalFormatting sqref="B3:B31">
    <cfRule type="duplicateValues" dxfId="11" priority="3"/>
  </conditionalFormatting>
  <conditionalFormatting sqref="G3:I3">
    <cfRule type="duplicateValues" dxfId="10" priority="2"/>
  </conditionalFormatting>
  <conditionalFormatting sqref="G4:I22">
    <cfRule type="duplicateValues" dxfId="9" priority="162"/>
  </conditionalFormatting>
  <conditionalFormatting sqref="H3:H22">
    <cfRule type="duplicateValues" dxfId="8" priority="163"/>
  </conditionalFormatting>
  <dataValidations count="2">
    <dataValidation type="custom" allowBlank="1" showErrorMessage="1" errorTitle="Maximum of 20 roles can be used." error="Maximum of 20 roles can be used." promptTitle="Max 20 Roles" prompt="Maximum of 20 roles can be used." sqref="G3:I22" xr:uid="{3D16EED6-8DEE-4AAE-9E9B-AC847CC5C3F9}">
      <formula1>ROW()&lt;=22</formula1>
    </dataValidation>
    <dataValidation type="list" allowBlank="1" showInputMessage="1" showErrorMessage="1" sqref="D3:D31" xr:uid="{0B1EF1D1-BA41-4341-A5E7-79B948CF3D19}">
      <formula1>Roles</formula1>
    </dataValidation>
  </dataValidations>
  <pageMargins left="0.7" right="0.7" top="0.75" bottom="0.75" header="0.3" footer="0.3"/>
  <legacy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94E0-784B-4A08-BA57-5D8345756674}">
  <sheetPr codeName="Sheet5"/>
  <dimension ref="B1:AH157"/>
  <sheetViews>
    <sheetView topLeftCell="G52" workbookViewId="0">
      <selection activeCell="P76" sqref="P76"/>
    </sheetView>
  </sheetViews>
  <sheetFormatPr defaultRowHeight="15" x14ac:dyDescent="0.25"/>
  <cols>
    <col min="1" max="1" width="0.85546875" customWidth="1"/>
    <col min="2" max="2" width="10.42578125" bestFit="1" customWidth="1"/>
    <col min="3" max="3" width="18.85546875" customWidth="1"/>
    <col min="4" max="4" width="18.85546875" bestFit="1" customWidth="1"/>
    <col min="5" max="6" width="14.140625" bestFit="1" customWidth="1"/>
    <col min="7" max="7" width="11.85546875" bestFit="1" customWidth="1"/>
    <col min="8" max="8" width="6.5703125" customWidth="1"/>
    <col min="9" max="9" width="13.42578125" customWidth="1"/>
    <col min="10" max="10" width="9.5703125" customWidth="1"/>
    <col min="11" max="11" width="10.42578125" style="12" customWidth="1"/>
    <col min="12" max="12" width="15.5703125" bestFit="1" customWidth="1"/>
    <col min="13" max="13" width="11.85546875" bestFit="1" customWidth="1"/>
    <col min="14" max="14" width="7" customWidth="1"/>
    <col min="15" max="15" width="6" customWidth="1"/>
    <col min="16" max="18" width="16.42578125" bestFit="1" customWidth="1"/>
    <col min="19" max="19" width="3" bestFit="1" customWidth="1"/>
    <col min="20" max="20" width="8" customWidth="1"/>
    <col min="21" max="21" width="8.42578125" bestFit="1" customWidth="1"/>
    <col min="22" max="22" width="5.42578125" bestFit="1" customWidth="1"/>
    <col min="23" max="23" width="10.42578125" bestFit="1" customWidth="1"/>
    <col min="24" max="24" width="39.140625" bestFit="1" customWidth="1"/>
    <col min="26" max="26" width="11.42578125" customWidth="1"/>
  </cols>
  <sheetData>
    <row r="1" spans="2:24" ht="21" x14ac:dyDescent="0.35">
      <c r="B1" s="70" t="s">
        <v>32</v>
      </c>
    </row>
    <row r="2" spans="2:24" ht="6" customHeight="1" x14ac:dyDescent="0.25"/>
    <row r="3" spans="2:24" x14ac:dyDescent="0.25">
      <c r="B3" t="s">
        <v>36</v>
      </c>
      <c r="C3" s="19" t="s">
        <v>29</v>
      </c>
      <c r="D3" s="20" t="s">
        <v>30</v>
      </c>
      <c r="E3" s="20" t="s">
        <v>31</v>
      </c>
      <c r="F3" s="20" t="s">
        <v>1</v>
      </c>
      <c r="G3" s="20" t="s">
        <v>2</v>
      </c>
      <c r="H3" s="20" t="s">
        <v>3</v>
      </c>
      <c r="I3" s="20" t="s">
        <v>4</v>
      </c>
      <c r="J3" s="20" t="s">
        <v>5</v>
      </c>
      <c r="K3" s="20" t="s">
        <v>82</v>
      </c>
      <c r="L3" s="20" t="s">
        <v>37</v>
      </c>
      <c r="M3" s="20" t="s">
        <v>38</v>
      </c>
      <c r="N3" s="20" t="s">
        <v>39</v>
      </c>
      <c r="O3" s="20" t="s">
        <v>40</v>
      </c>
      <c r="P3" s="20" t="s">
        <v>41</v>
      </c>
      <c r="Q3" s="20" t="s">
        <v>42</v>
      </c>
      <c r="R3" s="20" t="s">
        <v>43</v>
      </c>
      <c r="S3" s="20" t="s">
        <v>91</v>
      </c>
      <c r="T3" s="20" t="s">
        <v>11</v>
      </c>
      <c r="U3" s="20" t="s">
        <v>79</v>
      </c>
      <c r="V3" s="20" t="s">
        <v>23</v>
      </c>
      <c r="W3" s="20" t="s">
        <v>132</v>
      </c>
      <c r="X3" s="20" t="s">
        <v>133</v>
      </c>
    </row>
    <row r="4" spans="2:24" x14ac:dyDescent="0.25">
      <c r="B4">
        <v>3</v>
      </c>
      <c r="C4" s="105" t="str">
        <f ca="1">IF(OR(tbl_project_helper[[#This Row],[check]]=0,tbl_project_helper[[#This Row],[check]]=""),"",tbl_project_helper[[#This Row],[check]])</f>
        <v>Gathering Requirements</v>
      </c>
      <c r="D4" s="15" cm="1">
        <f t="array" aca="1" ref="D4" ca="1">IF(tbl_project_helper[[#This Row],[Used]]&lt;5,INDIRECT("ProjectPlan!E"&amp;L4),"")</f>
        <v>45663</v>
      </c>
      <c r="E4" s="15" cm="1">
        <f t="array" aca="1" ref="E4" ca="1">IF(tbl_project_helper[[#This Row],[Used]]&lt;5,INDIRECT("ProjectPlan!E"&amp;M4),"")</f>
        <v>45687</v>
      </c>
      <c r="F4" s="16" cm="1">
        <f t="array" aca="1" ref="F4" ca="1">INDIRECT("ProjectPlan!I"&amp;N4)</f>
        <v>1</v>
      </c>
      <c r="G4" s="16" cm="1">
        <f t="array" aca="1" ref="G4" ca="1">INDIRECT("ProjectPlan!I"&amp;O4)</f>
        <v>1</v>
      </c>
      <c r="H4" s="16" cm="1">
        <f t="array" aca="1" ref="H4" ca="1">INDIRECT("ProjectPlan!I"&amp;P4)</f>
        <v>1</v>
      </c>
      <c r="I4" s="16" cm="1">
        <f t="array" aca="1" ref="I4" ca="1">INDIRECT("ProjectPlan!I"&amp;Q4)</f>
        <v>0.95</v>
      </c>
      <c r="J4" s="16" cm="1">
        <f t="array" aca="1" ref="J4" ca="1">INDIRECT("ProjectPlan!I"&amp;R4)</f>
        <v>0.95</v>
      </c>
      <c r="K4" s="12">
        <f ca="1">IF(tbl_project_helper[[#This Row],[Used]]&lt;5,IF(AND(MONTH(tbl_project_helper[[#This Row],[End]])=MONTH(DATEVALUE($D$24&amp;" 1")), YEAR(tbl_project_helper[[#This Row],[End]])=YEAR(DATEVALUE("1 "&amp;$D$24&amp;" "&amp;$E$24))), 1, 0),0)</f>
        <v>0</v>
      </c>
      <c r="L4">
        <v>4</v>
      </c>
      <c r="M4">
        <f>L4+5</f>
        <v>9</v>
      </c>
      <c r="N4">
        <v>4</v>
      </c>
      <c r="O4">
        <f>N4+1</f>
        <v>5</v>
      </c>
      <c r="P4">
        <f t="shared" ref="P4:R4" si="0">O4+1</f>
        <v>6</v>
      </c>
      <c r="Q4">
        <f t="shared" si="0"/>
        <v>7</v>
      </c>
      <c r="R4">
        <f t="shared" si="0"/>
        <v>8</v>
      </c>
      <c r="S4">
        <f>tbl_project_helper[[#This Row],[g]]+1</f>
        <v>9</v>
      </c>
      <c r="T4" s="22" cm="1">
        <f t="array" aca="1" ref="T4" ca="1">IFERROR(SUM(IF(ISNUMBER(tbl_project_helper[[#This Row],[Task 1]:[Task 5]]), tbl_project_helper[[#This Row],[Task 1]:[Task 5]], 0)) / COUNTIF(tbl_project_helper[[#This Row],[Task 1]:[Task 5]], "&lt;&gt;N/A"), -0.01)</f>
        <v>0.98000000000000009</v>
      </c>
      <c r="U4" t="str" cm="1">
        <f t="array" aca="1" ref="U4" ca="1">Information!$B$2&amp;" " &amp; INDIRECT("ProjectPlan!B"&amp;B4)</f>
        <v>STORY 1.1.0</v>
      </c>
      <c r="V4" cm="1">
        <f t="array" aca="1" ref="V4" ca="1">INDIRECT("ProjectPlan!G"&amp;S4)</f>
        <v>24</v>
      </c>
      <c r="W4">
        <f ca="1">COUNTIF(tbl_project_helper[[#This Row],[Task 1]:[Task 5]],"N/A")</f>
        <v>0</v>
      </c>
      <c r="X4" t="str" cm="1">
        <f t="array" aca="1" ref="X4" ca="1">INDIRECT("ProjectPlan!C"&amp;B4)</f>
        <v>Gathering Requirements</v>
      </c>
    </row>
    <row r="5" spans="2:24" x14ac:dyDescent="0.25">
      <c r="B5">
        <f>B4+7</f>
        <v>10</v>
      </c>
      <c r="C5" s="105" t="str">
        <f ca="1">IF(OR(tbl_project_helper[[#This Row],[check]]=0,tbl_project_helper[[#This Row],[check]]=""),"",tbl_project_helper[[#This Row],[check]])</f>
        <v>Define Requirements</v>
      </c>
      <c r="D5" s="15" cm="1">
        <f t="array" aca="1" ref="D5" ca="1">IF(tbl_project_helper[[#This Row],[Used]]&lt;5,INDIRECT("ProjectPlan!E"&amp;L5),"")</f>
        <v>45688</v>
      </c>
      <c r="E5" s="15" cm="1">
        <f t="array" aca="1" ref="E5" ca="1">IF(tbl_project_helper[[#This Row],[Used]]&lt;5,INDIRECT("ProjectPlan!E"&amp;M5),"")</f>
        <v>45707</v>
      </c>
      <c r="F5" s="16" cm="1">
        <f t="array" aca="1" ref="F5" ca="1">INDIRECT("ProjectPlan!I"&amp;N5)</f>
        <v>0.95</v>
      </c>
      <c r="G5" s="16" cm="1">
        <f t="array" aca="1" ref="G5" ca="1">INDIRECT("ProjectPlan!I"&amp;O5)</f>
        <v>1</v>
      </c>
      <c r="H5" s="16" cm="1">
        <f t="array" aca="1" ref="H5" ca="1">INDIRECT("ProjectPlan!I"&amp;P5)</f>
        <v>0.95</v>
      </c>
      <c r="I5" s="16" cm="1">
        <f t="array" aca="1" ref="I5" ca="1">INDIRECT("ProjectPlan!I"&amp;Q5)</f>
        <v>0.95</v>
      </c>
      <c r="J5" s="16" cm="1">
        <f t="array" aca="1" ref="J5" ca="1">INDIRECT("ProjectPlan!I"&amp;R5)</f>
        <v>0.1</v>
      </c>
      <c r="K5" s="12">
        <f ca="1">IF(tbl_project_helper[[#This Row],[Used]]&lt;5,IF(AND(MONTH(tbl_project_helper[[#This Row],[End]])=MONTH(DATEVALUE($D$24&amp;" 1")), YEAR(tbl_project_helper[[#This Row],[End]])=YEAR(DATEVALUE("1 "&amp;$D$24&amp;" "&amp;$E$24))), 1, 0),0)</f>
        <v>0</v>
      </c>
      <c r="L5">
        <f t="shared" ref="L5:L13" si="1">B5+1</f>
        <v>11</v>
      </c>
      <c r="M5">
        <f t="shared" ref="M5:M13" si="2">L5+5</f>
        <v>16</v>
      </c>
      <c r="N5">
        <f t="shared" ref="N5:N13" si="3">L5</f>
        <v>11</v>
      </c>
      <c r="O5">
        <f t="shared" ref="O5:R5" si="4">N5+1</f>
        <v>12</v>
      </c>
      <c r="P5">
        <f t="shared" si="4"/>
        <v>13</v>
      </c>
      <c r="Q5">
        <f t="shared" si="4"/>
        <v>14</v>
      </c>
      <c r="R5">
        <f t="shared" si="4"/>
        <v>15</v>
      </c>
      <c r="S5">
        <f>tbl_project_helper[[#This Row],[g]]+1</f>
        <v>16</v>
      </c>
      <c r="T5" s="22" cm="1">
        <f t="array" aca="1" ref="T5" ca="1">IFERROR(SUM(IF(ISNUMBER(tbl_project_helper[[#This Row],[Task 1]:[Task 5]]), tbl_project_helper[[#This Row],[Task 1]:[Task 5]], 0)) / COUNTIF(tbl_project_helper[[#This Row],[Task 1]:[Task 5]], "&lt;&gt;N/A"), -0.01)</f>
        <v>0.78999999999999992</v>
      </c>
      <c r="U5" t="str" cm="1">
        <f t="array" aca="1" ref="U5" ca="1">Information!$B$2&amp;" " &amp; INDIRECT("ProjectPlan!B"&amp;B5)</f>
        <v>STORY 1.2.0</v>
      </c>
      <c r="V5" cm="1">
        <f t="array" aca="1" ref="V5" ca="1">INDIRECT("ProjectPlan!G"&amp;S5)</f>
        <v>32</v>
      </c>
      <c r="W5">
        <f ca="1">COUNTIF(tbl_project_helper[[#This Row],[Task 1]:[Task 5]],"N/A")</f>
        <v>0</v>
      </c>
      <c r="X5" t="str" cm="1">
        <f t="array" aca="1" ref="X5" ca="1">INDIRECT("ProjectPlan!C"&amp;B5)</f>
        <v>Define Requirements</v>
      </c>
    </row>
    <row r="6" spans="2:24" x14ac:dyDescent="0.25">
      <c r="B6">
        <f t="shared" ref="B6:B13" si="5">B5+7</f>
        <v>17</v>
      </c>
      <c r="C6" s="105" t="str">
        <f ca="1">IF(OR(tbl_project_helper[[#This Row],[check]]=0,tbl_project_helper[[#This Row],[check]]=""),"",tbl_project_helper[[#This Row],[check]])</f>
        <v>System Architecture Design</v>
      </c>
      <c r="D6" s="15" cm="1">
        <f t="array" aca="1" ref="D6" ca="1">IF(tbl_project_helper[[#This Row],[Used]]&lt;5,INDIRECT("ProjectPlan!E"&amp;L6),"")</f>
        <v>45699</v>
      </c>
      <c r="E6" s="15" cm="1">
        <f t="array" aca="1" ref="E6" ca="1">IF(tbl_project_helper[[#This Row],[Used]]&lt;5,INDIRECT("ProjectPlan!E"&amp;M6),"")</f>
        <v>45723</v>
      </c>
      <c r="F6" s="16" cm="1">
        <f t="array" aca="1" ref="F6" ca="1">INDIRECT("ProjectPlan!I"&amp;N6)</f>
        <v>0.5</v>
      </c>
      <c r="G6" s="16" cm="1">
        <f t="array" aca="1" ref="G6" ca="1">INDIRECT("ProjectPlan!I"&amp;O6)</f>
        <v>0.2</v>
      </c>
      <c r="H6" s="16" cm="1">
        <f t="array" aca="1" ref="H6" ca="1">INDIRECT("ProjectPlan!I"&amp;P6)</f>
        <v>0.2</v>
      </c>
      <c r="I6" s="16" cm="1">
        <f t="array" aca="1" ref="I6" ca="1">INDIRECT("ProjectPlan!I"&amp;Q6)</f>
        <v>0.2</v>
      </c>
      <c r="J6" s="16" cm="1">
        <f t="array" aca="1" ref="J6" ca="1">INDIRECT("ProjectPlan!I"&amp;R6)</f>
        <v>0.1</v>
      </c>
      <c r="K6" s="12">
        <f ca="1">IF(tbl_project_helper[[#This Row],[Used]]&lt;5,IF(AND(MONTH(tbl_project_helper[[#This Row],[End]])=MONTH(DATEVALUE($D$24&amp;" 1")), YEAR(tbl_project_helper[[#This Row],[End]])=YEAR(DATEVALUE("1 "&amp;$D$24&amp;" "&amp;$E$24))), 1, 0),0)</f>
        <v>1</v>
      </c>
      <c r="L6">
        <f t="shared" si="1"/>
        <v>18</v>
      </c>
      <c r="M6">
        <f t="shared" si="2"/>
        <v>23</v>
      </c>
      <c r="N6">
        <f t="shared" si="3"/>
        <v>18</v>
      </c>
      <c r="O6">
        <f t="shared" ref="O6:R6" si="6">N6+1</f>
        <v>19</v>
      </c>
      <c r="P6">
        <f t="shared" si="6"/>
        <v>20</v>
      </c>
      <c r="Q6">
        <f t="shared" si="6"/>
        <v>21</v>
      </c>
      <c r="R6">
        <f t="shared" si="6"/>
        <v>22</v>
      </c>
      <c r="S6">
        <f>tbl_project_helper[[#This Row],[g]]+1</f>
        <v>23</v>
      </c>
      <c r="T6" s="22" cm="1">
        <f t="array" aca="1" ref="T6" ca="1">IFERROR(SUM(IF(ISNUMBER(tbl_project_helper[[#This Row],[Task 1]:[Task 5]]), tbl_project_helper[[#This Row],[Task 1]:[Task 5]], 0)) / COUNTIF(tbl_project_helper[[#This Row],[Task 1]:[Task 5]], "&lt;&gt;N/A"), -0.01)</f>
        <v>0.24</v>
      </c>
      <c r="U6" t="str" cm="1">
        <f t="array" aca="1" ref="U6" ca="1">Information!$B$2&amp;" " &amp; INDIRECT("ProjectPlan!B"&amp;B6)</f>
        <v>STORY 1.3.0</v>
      </c>
      <c r="V6" cm="1">
        <f t="array" aca="1" ref="V6" ca="1">INDIRECT("ProjectPlan!G"&amp;S6)</f>
        <v>22</v>
      </c>
      <c r="W6">
        <f ca="1">COUNTIF(tbl_project_helper[[#This Row],[Task 1]:[Task 5]],"N/A")</f>
        <v>0</v>
      </c>
      <c r="X6" t="str" cm="1">
        <f t="array" aca="1" ref="X6" ca="1">INDIRECT("ProjectPlan!C"&amp;B6)</f>
        <v>System Architecture Design</v>
      </c>
    </row>
    <row r="7" spans="2:24" x14ac:dyDescent="0.25">
      <c r="B7">
        <f t="shared" si="5"/>
        <v>24</v>
      </c>
      <c r="C7" s="105" t="str">
        <f ca="1">IF(OR(tbl_project_helper[[#This Row],[check]]=0,tbl_project_helper[[#This Row],[check]]=""),"",tbl_project_helper[[#This Row],[check]])</f>
        <v>Design and Plan GUI Development</v>
      </c>
      <c r="D7" s="15" cm="1">
        <f t="array" aca="1" ref="D7" ca="1">IF(tbl_project_helper[[#This Row],[Used]]&lt;5,INDIRECT("ProjectPlan!E"&amp;L7),"")</f>
        <v>45726</v>
      </c>
      <c r="E7" s="15" cm="1">
        <f t="array" aca="1" ref="E7" ca="1">IF(tbl_project_helper[[#This Row],[Used]]&lt;5,INDIRECT("ProjectPlan!E"&amp;M7),"")</f>
        <v>45737</v>
      </c>
      <c r="F7" s="16" cm="1">
        <f t="array" aca="1" ref="F7" ca="1">INDIRECT("ProjectPlan!I"&amp;N7)</f>
        <v>0.1</v>
      </c>
      <c r="G7" s="16" cm="1">
        <f t="array" aca="1" ref="G7" ca="1">INDIRECT("ProjectPlan!I"&amp;O7)</f>
        <v>0</v>
      </c>
      <c r="H7" s="16" cm="1">
        <f t="array" aca="1" ref="H7" ca="1">INDIRECT("ProjectPlan!I"&amp;P7)</f>
        <v>0</v>
      </c>
      <c r="I7" s="16" cm="1">
        <f t="array" aca="1" ref="I7" ca="1">INDIRECT("ProjectPlan!I"&amp;Q7)</f>
        <v>0</v>
      </c>
      <c r="J7" s="16" cm="1">
        <f t="array" aca="1" ref="J7" ca="1">INDIRECT("ProjectPlan!I"&amp;R7)</f>
        <v>0</v>
      </c>
      <c r="K7" s="12">
        <f ca="1">IF(tbl_project_helper[[#This Row],[Used]]&lt;5,IF(AND(MONTH(tbl_project_helper[[#This Row],[End]])=MONTH(DATEVALUE($D$24&amp;" 1")), YEAR(tbl_project_helper[[#This Row],[End]])=YEAR(DATEVALUE("1 "&amp;$D$24&amp;" "&amp;$E$24))), 1, 0),0)</f>
        <v>1</v>
      </c>
      <c r="L7">
        <f t="shared" si="1"/>
        <v>25</v>
      </c>
      <c r="M7">
        <f t="shared" si="2"/>
        <v>30</v>
      </c>
      <c r="N7">
        <f t="shared" si="3"/>
        <v>25</v>
      </c>
      <c r="O7">
        <f t="shared" ref="O7:R7" si="7">N7+1</f>
        <v>26</v>
      </c>
      <c r="P7">
        <f t="shared" si="7"/>
        <v>27</v>
      </c>
      <c r="Q7">
        <f t="shared" si="7"/>
        <v>28</v>
      </c>
      <c r="R7">
        <f t="shared" si="7"/>
        <v>29</v>
      </c>
      <c r="S7">
        <f>tbl_project_helper[[#This Row],[g]]+1</f>
        <v>30</v>
      </c>
      <c r="T7" s="22" cm="1">
        <f t="array" aca="1" ref="T7" ca="1">IFERROR(SUM(IF(ISNUMBER(tbl_project_helper[[#This Row],[Task 1]:[Task 5]]), tbl_project_helper[[#This Row],[Task 1]:[Task 5]], 0)) / COUNTIF(tbl_project_helper[[#This Row],[Task 1]:[Task 5]], "&lt;&gt;N/A"), -0.01)</f>
        <v>0.02</v>
      </c>
      <c r="U7" t="str" cm="1">
        <f t="array" aca="1" ref="U7" ca="1">Information!$B$2&amp;" " &amp; INDIRECT("ProjectPlan!B"&amp;B7)</f>
        <v>STORY 2.1.0</v>
      </c>
      <c r="V7" cm="1">
        <f t="array" aca="1" ref="V7" ca="1">INDIRECT("ProjectPlan!G"&amp;S7)</f>
        <v>45</v>
      </c>
      <c r="W7">
        <f ca="1">COUNTIF(tbl_project_helper[[#This Row],[Task 1]:[Task 5]],"N/A")</f>
        <v>0</v>
      </c>
      <c r="X7" t="str" cm="1">
        <f t="array" aca="1" ref="X7" ca="1">INDIRECT("ProjectPlan!C"&amp;B7)</f>
        <v>Design and Plan GUI Development</v>
      </c>
    </row>
    <row r="8" spans="2:24" x14ac:dyDescent="0.25">
      <c r="B8">
        <f t="shared" si="5"/>
        <v>31</v>
      </c>
      <c r="C8" s="105" t="str">
        <f ca="1">IF(OR(tbl_project_helper[[#This Row],[check]]=0,tbl_project_helper[[#This Row],[check]]=""),"",tbl_project_helper[[#This Row],[check]])</f>
        <v>Design and Plan Server-Side Development</v>
      </c>
      <c r="D8" s="15" cm="1">
        <f t="array" aca="1" ref="D8" ca="1">IF(tbl_project_helper[[#This Row],[Used]]&lt;5,INDIRECT("ProjectPlan!E"&amp;L8),"")</f>
        <v>45740</v>
      </c>
      <c r="E8" s="15" cm="1">
        <f t="array" aca="1" ref="E8" ca="1">IF(tbl_project_helper[[#This Row],[Used]]&lt;5,INDIRECT("ProjectPlan!E"&amp;M8),"")</f>
        <v>45751</v>
      </c>
      <c r="F8" s="16" cm="1">
        <f t="array" aca="1" ref="F8" ca="1">INDIRECT("ProjectPlan!I"&amp;N8)</f>
        <v>0</v>
      </c>
      <c r="G8" s="16" cm="1">
        <f t="array" aca="1" ref="G8" ca="1">INDIRECT("ProjectPlan!I"&amp;O8)</f>
        <v>0</v>
      </c>
      <c r="H8" s="16" cm="1">
        <f t="array" aca="1" ref="H8" ca="1">INDIRECT("ProjectPlan!I"&amp;P8)</f>
        <v>0</v>
      </c>
      <c r="I8" s="16" cm="1">
        <f t="array" aca="1" ref="I8" ca="1">INDIRECT("ProjectPlan!I"&amp;Q8)</f>
        <v>0</v>
      </c>
      <c r="J8" s="16" cm="1">
        <f t="array" aca="1" ref="J8" ca="1">INDIRECT("ProjectPlan!I"&amp;R8)</f>
        <v>0</v>
      </c>
      <c r="K8" s="12">
        <f ca="1">IF(tbl_project_helper[[#This Row],[Used]]&lt;5,IF(AND(MONTH(tbl_project_helper[[#This Row],[End]])=MONTH(DATEVALUE($D$24&amp;" 1")), YEAR(tbl_project_helper[[#This Row],[End]])=YEAR(DATEVALUE("1 "&amp;$D$24&amp;" "&amp;$E$24))), 1, 0),0)</f>
        <v>0</v>
      </c>
      <c r="L8">
        <f t="shared" si="1"/>
        <v>32</v>
      </c>
      <c r="M8">
        <f t="shared" si="2"/>
        <v>37</v>
      </c>
      <c r="N8">
        <f t="shared" si="3"/>
        <v>32</v>
      </c>
      <c r="O8">
        <f t="shared" ref="O8:R8" si="8">N8+1</f>
        <v>33</v>
      </c>
      <c r="P8">
        <f t="shared" si="8"/>
        <v>34</v>
      </c>
      <c r="Q8">
        <f t="shared" si="8"/>
        <v>35</v>
      </c>
      <c r="R8">
        <f t="shared" si="8"/>
        <v>36</v>
      </c>
      <c r="S8">
        <f>tbl_project_helper[[#This Row],[g]]+1</f>
        <v>37</v>
      </c>
      <c r="T8" s="22" cm="1">
        <f t="array" aca="1" ref="T8" ca="1">IFERROR(SUM(IF(ISNUMBER(tbl_project_helper[[#This Row],[Task 1]:[Task 5]]), tbl_project_helper[[#This Row],[Task 1]:[Task 5]], 0)) / COUNTIF(tbl_project_helper[[#This Row],[Task 1]:[Task 5]], "&lt;&gt;N/A"), -0.01)</f>
        <v>0</v>
      </c>
      <c r="U8" t="str" cm="1">
        <f t="array" aca="1" ref="U8" ca="1">Information!$B$2&amp;" " &amp; INDIRECT("ProjectPlan!B"&amp;B8)</f>
        <v>STORY 2.2.0</v>
      </c>
      <c r="V8" cm="1">
        <f t="array" aca="1" ref="V8" ca="1">INDIRECT("ProjectPlan!G"&amp;S8)</f>
        <v>50</v>
      </c>
      <c r="W8">
        <f ca="1">COUNTIF(tbl_project_helper[[#This Row],[Task 1]:[Task 5]],"N/A")</f>
        <v>0</v>
      </c>
      <c r="X8" t="str" cm="1">
        <f t="array" aca="1" ref="X8" ca="1">INDIRECT("ProjectPlan!C"&amp;B8)</f>
        <v>Design and Plan Server-Side Development</v>
      </c>
    </row>
    <row r="9" spans="2:24" x14ac:dyDescent="0.25">
      <c r="B9">
        <f t="shared" si="5"/>
        <v>38</v>
      </c>
      <c r="C9" s="105" t="str">
        <f ca="1">IF(OR(tbl_project_helper[[#This Row],[check]]=0,tbl_project_helper[[#This Row],[check]]=""),"",tbl_project_helper[[#This Row],[check]])</f>
        <v>Plan GUI and Server-Side Testing</v>
      </c>
      <c r="D9" s="15" cm="1">
        <f t="array" aca="1" ref="D9" ca="1">IF(tbl_project_helper[[#This Row],[Used]]&lt;5,INDIRECT("ProjectPlan!E"&amp;L9),"")</f>
        <v>45754</v>
      </c>
      <c r="E9" s="15" cm="1">
        <f t="array" aca="1" ref="E9" ca="1">IF(tbl_project_helper[[#This Row],[Used]]&lt;5,INDIRECT("ProjectPlan!E"&amp;M9),"")</f>
        <v>45758</v>
      </c>
      <c r="F9" s="16" cm="1">
        <f t="array" aca="1" ref="F9" ca="1">INDIRECT("ProjectPlan!I"&amp;N9)</f>
        <v>0</v>
      </c>
      <c r="G9" s="16" cm="1">
        <f t="array" aca="1" ref="G9" ca="1">INDIRECT("ProjectPlan!I"&amp;O9)</f>
        <v>0</v>
      </c>
      <c r="H9" s="16" cm="1">
        <f t="array" aca="1" ref="H9" ca="1">INDIRECT("ProjectPlan!I"&amp;P9)</f>
        <v>0</v>
      </c>
      <c r="I9" s="16" cm="1">
        <f t="array" aca="1" ref="I9" ca="1">INDIRECT("ProjectPlan!I"&amp;Q9)</f>
        <v>0</v>
      </c>
      <c r="J9" s="16" cm="1">
        <f t="array" aca="1" ref="J9" ca="1">INDIRECT("ProjectPlan!I"&amp;R9)</f>
        <v>0</v>
      </c>
      <c r="K9" s="12">
        <f ca="1">IF(tbl_project_helper[[#This Row],[Used]]&lt;5,IF(AND(MONTH(tbl_project_helper[[#This Row],[End]])=MONTH(DATEVALUE($D$24&amp;" 1")), YEAR(tbl_project_helper[[#This Row],[End]])=YEAR(DATEVALUE("1 "&amp;$D$24&amp;" "&amp;$E$24))), 1, 0),0)</f>
        <v>0</v>
      </c>
      <c r="L9">
        <f t="shared" si="1"/>
        <v>39</v>
      </c>
      <c r="M9">
        <f t="shared" si="2"/>
        <v>44</v>
      </c>
      <c r="N9">
        <f t="shared" si="3"/>
        <v>39</v>
      </c>
      <c r="O9">
        <f t="shared" ref="O9:R9" si="9">N9+1</f>
        <v>40</v>
      </c>
      <c r="P9">
        <f t="shared" si="9"/>
        <v>41</v>
      </c>
      <c r="Q9">
        <f t="shared" si="9"/>
        <v>42</v>
      </c>
      <c r="R9">
        <f t="shared" si="9"/>
        <v>43</v>
      </c>
      <c r="S9">
        <f>tbl_project_helper[[#This Row],[g]]+1</f>
        <v>44</v>
      </c>
      <c r="T9" s="22" cm="1">
        <f t="array" aca="1" ref="T9" ca="1">IFERROR(SUM(IF(ISNUMBER(tbl_project_helper[[#This Row],[Task 1]:[Task 5]]), tbl_project_helper[[#This Row],[Task 1]:[Task 5]], 0)) / COUNTIF(tbl_project_helper[[#This Row],[Task 1]:[Task 5]], "&lt;&gt;N/A"), -0.01)</f>
        <v>0</v>
      </c>
      <c r="U9" t="str" cm="1">
        <f t="array" aca="1" ref="U9" ca="1">Information!$B$2&amp;" " &amp; INDIRECT("ProjectPlan!B"&amp;B9)</f>
        <v>STORY 2.3.0</v>
      </c>
      <c r="V9" cm="1">
        <f t="array" aca="1" ref="V9" ca="1">INDIRECT("ProjectPlan!G"&amp;S9)</f>
        <v>25</v>
      </c>
      <c r="W9">
        <f ca="1">COUNTIF(tbl_project_helper[[#This Row],[Task 1]:[Task 5]],"N/A")</f>
        <v>0</v>
      </c>
      <c r="X9" t="str" cm="1">
        <f t="array" aca="1" ref="X9" ca="1">INDIRECT("ProjectPlan!C"&amp;B9)</f>
        <v>Plan GUI and Server-Side Testing</v>
      </c>
    </row>
    <row r="10" spans="2:24" x14ac:dyDescent="0.25">
      <c r="B10">
        <f t="shared" si="5"/>
        <v>45</v>
      </c>
      <c r="C10" s="105" t="str">
        <f ca="1">IF(OR(tbl_project_helper[[#This Row],[check]]=0,tbl_project_helper[[#This Row],[check]]=""),"",tbl_project_helper[[#This Row],[check]])</f>
        <v>Development Plan</v>
      </c>
      <c r="D10" s="15" cm="1">
        <f t="array" aca="1" ref="D10" ca="1">IF(tbl_project_helper[[#This Row],[Used]]&lt;5,INDIRECT("ProjectPlan!E"&amp;L10),"")</f>
        <v>45761</v>
      </c>
      <c r="E10" s="15" cm="1">
        <f t="array" aca="1" ref="E10" ca="1">IF(tbl_project_helper[[#This Row],[Used]]&lt;5,INDIRECT("ProjectPlan!E"&amp;M10),"")</f>
        <v>45761</v>
      </c>
      <c r="F10" s="16" cm="1">
        <f t="array" aca="1" ref="F10" ca="1">INDIRECT("ProjectPlan!I"&amp;N10)</f>
        <v>0</v>
      </c>
      <c r="G10" s="16" cm="1">
        <f t="array" aca="1" ref="G10" ca="1">INDIRECT("ProjectPlan!I"&amp;O10)</f>
        <v>0</v>
      </c>
      <c r="H10" s="16" cm="1">
        <f t="array" aca="1" ref="H10" ca="1">INDIRECT("ProjectPlan!I"&amp;P10)</f>
        <v>0</v>
      </c>
      <c r="I10" s="16" cm="1">
        <f t="array" aca="1" ref="I10" ca="1">INDIRECT("ProjectPlan!I"&amp;Q10)</f>
        <v>0</v>
      </c>
      <c r="J10" s="16" cm="1">
        <f t="array" aca="1" ref="J10" ca="1">INDIRECT("ProjectPlan!I"&amp;R10)</f>
        <v>0</v>
      </c>
      <c r="K10" s="12">
        <f ca="1">IF(tbl_project_helper[[#This Row],[Used]]&lt;5,IF(AND(MONTH(tbl_project_helper[[#This Row],[End]])=MONTH(DATEVALUE($D$24&amp;" 1")), YEAR(tbl_project_helper[[#This Row],[End]])=YEAR(DATEVALUE("1 "&amp;$D$24&amp;" "&amp;$E$24))), 1, 0),0)</f>
        <v>0</v>
      </c>
      <c r="L10">
        <f t="shared" si="1"/>
        <v>46</v>
      </c>
      <c r="M10">
        <f t="shared" si="2"/>
        <v>51</v>
      </c>
      <c r="N10">
        <f t="shared" si="3"/>
        <v>46</v>
      </c>
      <c r="O10">
        <f t="shared" ref="O10:R10" si="10">N10+1</f>
        <v>47</v>
      </c>
      <c r="P10">
        <f t="shared" si="10"/>
        <v>48</v>
      </c>
      <c r="Q10">
        <f t="shared" si="10"/>
        <v>49</v>
      </c>
      <c r="R10">
        <f t="shared" si="10"/>
        <v>50</v>
      </c>
      <c r="S10">
        <f>tbl_project_helper[[#This Row],[g]]+1</f>
        <v>51</v>
      </c>
      <c r="T10" s="22" cm="1">
        <f t="array" aca="1" ref="T10" ca="1">IFERROR(SUM(IF(ISNUMBER(tbl_project_helper[[#This Row],[Task 1]:[Task 5]]), tbl_project_helper[[#This Row],[Task 1]:[Task 5]], 0)) / COUNTIF(tbl_project_helper[[#This Row],[Task 1]:[Task 5]], "&lt;&gt;N/A"), -0.01)</f>
        <v>0</v>
      </c>
      <c r="U10" t="str" cm="1">
        <f t="array" aca="1" ref="U10" ca="1">Information!$B$2&amp;" " &amp; INDIRECT("ProjectPlan!B"&amp;B10)</f>
        <v>STORY 3.1.0</v>
      </c>
      <c r="V10" cm="1">
        <f t="array" aca="1" ref="V10" ca="1">INDIRECT("ProjectPlan!G"&amp;S10)</f>
        <v>5</v>
      </c>
      <c r="W10">
        <f ca="1">COUNTIF(tbl_project_helper[[#This Row],[Task 1]:[Task 5]],"N/A")</f>
        <v>0</v>
      </c>
      <c r="X10" t="str" cm="1">
        <f t="array" aca="1" ref="X10" ca="1">INDIRECT("ProjectPlan!C"&amp;B10)</f>
        <v>Development Plan</v>
      </c>
    </row>
    <row r="11" spans="2:24" x14ac:dyDescent="0.25">
      <c r="B11">
        <f t="shared" si="5"/>
        <v>52</v>
      </c>
      <c r="C11" s="105" t="str">
        <f ca="1">IF(OR(tbl_project_helper[[#This Row],[check]]=0,tbl_project_helper[[#This Row],[check]]=""),"",tbl_project_helper[[#This Row],[check]])</f>
        <v>Phase 1 Development</v>
      </c>
      <c r="D11" s="15" cm="1">
        <f t="array" aca="1" ref="D11" ca="1">IF(tbl_project_helper[[#This Row],[Used]]&lt;5,INDIRECT("ProjectPlan!E"&amp;L11),"")</f>
        <v>45761</v>
      </c>
      <c r="E11" s="15" cm="1">
        <f t="array" aca="1" ref="E11" ca="1">IF(tbl_project_helper[[#This Row],[Used]]&lt;5,INDIRECT("ProjectPlan!E"&amp;M11),"")</f>
        <v>45777</v>
      </c>
      <c r="F11" s="16" cm="1">
        <f t="array" aca="1" ref="F11" ca="1">INDIRECT("ProjectPlan!I"&amp;N11)</f>
        <v>0</v>
      </c>
      <c r="G11" s="16" cm="1">
        <f t="array" aca="1" ref="G11" ca="1">INDIRECT("ProjectPlan!I"&amp;O11)</f>
        <v>0</v>
      </c>
      <c r="H11" s="16" cm="1">
        <f t="array" aca="1" ref="H11" ca="1">INDIRECT("ProjectPlan!I"&amp;P11)</f>
        <v>0</v>
      </c>
      <c r="I11" s="16" cm="1">
        <f t="array" aca="1" ref="I11" ca="1">INDIRECT("ProjectPlan!I"&amp;Q11)</f>
        <v>0</v>
      </c>
      <c r="J11" s="16" t="str" cm="1">
        <f t="array" aca="1" ref="J11" ca="1">INDIRECT("ProjectPlan!I"&amp;R11)</f>
        <v>N/A</v>
      </c>
      <c r="K11" s="12">
        <f ca="1">IF(tbl_project_helper[[#This Row],[Used]]&lt;5,IF(AND(MONTH(tbl_project_helper[[#This Row],[End]])=MONTH(DATEVALUE($D$24&amp;" 1")), YEAR(tbl_project_helper[[#This Row],[End]])=YEAR(DATEVALUE("1 "&amp;$D$24&amp;" "&amp;$E$24))), 1, 0),0)</f>
        <v>0</v>
      </c>
      <c r="L11">
        <f t="shared" si="1"/>
        <v>53</v>
      </c>
      <c r="M11">
        <f t="shared" si="2"/>
        <v>58</v>
      </c>
      <c r="N11">
        <f t="shared" si="3"/>
        <v>53</v>
      </c>
      <c r="O11">
        <f t="shared" ref="O11:R11" si="11">N11+1</f>
        <v>54</v>
      </c>
      <c r="P11">
        <f t="shared" si="11"/>
        <v>55</v>
      </c>
      <c r="Q11">
        <f t="shared" si="11"/>
        <v>56</v>
      </c>
      <c r="R11">
        <f t="shared" si="11"/>
        <v>57</v>
      </c>
      <c r="S11">
        <f>tbl_project_helper[[#This Row],[g]]+1</f>
        <v>58</v>
      </c>
      <c r="T11" s="22" cm="1">
        <f t="array" aca="1" ref="T11" ca="1">IFERROR(SUM(IF(ISNUMBER(tbl_project_helper[[#This Row],[Task 1]:[Task 5]]), tbl_project_helper[[#This Row],[Task 1]:[Task 5]], 0)) / COUNTIF(tbl_project_helper[[#This Row],[Task 1]:[Task 5]], "&lt;&gt;N/A"), -0.01)</f>
        <v>0</v>
      </c>
      <c r="U11" t="str" cm="1">
        <f t="array" aca="1" ref="U11" ca="1">Information!$B$2&amp;" " &amp; INDIRECT("ProjectPlan!B"&amp;B11)</f>
        <v>STORY 4.1.0</v>
      </c>
      <c r="V11" cm="1">
        <f t="array" aca="1" ref="V11" ca="1">INDIRECT("ProjectPlan!G"&amp;S11)</f>
        <v>35</v>
      </c>
      <c r="W11">
        <f ca="1">COUNTIF(tbl_project_helper[[#This Row],[Task 1]:[Task 5]],"N/A")</f>
        <v>1</v>
      </c>
      <c r="X11" t="str" cm="1">
        <f t="array" aca="1" ref="X11" ca="1">INDIRECT("ProjectPlan!C"&amp;B11)</f>
        <v>Phase 1 Development</v>
      </c>
    </row>
    <row r="12" spans="2:24" x14ac:dyDescent="0.25">
      <c r="B12">
        <f t="shared" si="5"/>
        <v>59</v>
      </c>
      <c r="C12" s="105" t="str">
        <f ca="1">IF(OR(tbl_project_helper[[#This Row],[check]]=0,tbl_project_helper[[#This Row],[check]]=""),"",tbl_project_helper[[#This Row],[check]])</f>
        <v>Phase 2 Deployment - UAT</v>
      </c>
      <c r="D12" s="15" cm="1">
        <f t="array" aca="1" ref="D12" ca="1">IF(tbl_project_helper[[#This Row],[Used]]&lt;5,INDIRECT("ProjectPlan!E"&amp;L12),"")</f>
        <v>45762</v>
      </c>
      <c r="E12" s="15" cm="1">
        <f t="array" aca="1" ref="E12" ca="1">IF(tbl_project_helper[[#This Row],[Used]]&lt;5,INDIRECT("ProjectPlan!E"&amp;M12),"")</f>
        <v>45770</v>
      </c>
      <c r="F12" s="16" cm="1">
        <f t="array" aca="1" ref="F12" ca="1">INDIRECT("ProjectPlan!I"&amp;N12)</f>
        <v>0</v>
      </c>
      <c r="G12" s="16" cm="1">
        <f t="array" aca="1" ref="G12" ca="1">INDIRECT("ProjectPlan!I"&amp;O12)</f>
        <v>0</v>
      </c>
      <c r="H12" s="16" cm="1">
        <f t="array" aca="1" ref="H12" ca="1">INDIRECT("ProjectPlan!I"&amp;P12)</f>
        <v>0</v>
      </c>
      <c r="I12" s="16" cm="1">
        <f t="array" aca="1" ref="I12" ca="1">INDIRECT("ProjectPlan!I"&amp;Q12)</f>
        <v>0</v>
      </c>
      <c r="J12" s="16" cm="1">
        <f t="array" aca="1" ref="J12" ca="1">INDIRECT("ProjectPlan!I"&amp;R12)</f>
        <v>0</v>
      </c>
      <c r="K12" s="12">
        <f ca="1">IF(tbl_project_helper[[#This Row],[Used]]&lt;5,IF(AND(MONTH(tbl_project_helper[[#This Row],[End]])=MONTH(DATEVALUE($D$24&amp;" 1")), YEAR(tbl_project_helper[[#This Row],[End]])=YEAR(DATEVALUE("1 "&amp;$D$24&amp;" "&amp;$E$24))), 1, 0),0)</f>
        <v>0</v>
      </c>
      <c r="L12">
        <f t="shared" si="1"/>
        <v>60</v>
      </c>
      <c r="M12">
        <f t="shared" si="2"/>
        <v>65</v>
      </c>
      <c r="N12">
        <f t="shared" si="3"/>
        <v>60</v>
      </c>
      <c r="O12">
        <f t="shared" ref="O12:R12" si="12">N12+1</f>
        <v>61</v>
      </c>
      <c r="P12">
        <f t="shared" si="12"/>
        <v>62</v>
      </c>
      <c r="Q12">
        <f t="shared" si="12"/>
        <v>63</v>
      </c>
      <c r="R12">
        <f t="shared" si="12"/>
        <v>64</v>
      </c>
      <c r="S12">
        <f>tbl_project_helper[[#This Row],[g]]+1</f>
        <v>65</v>
      </c>
      <c r="T12" s="22" cm="1">
        <f t="array" aca="1" ref="T12" ca="1">IFERROR(SUM(IF(ISNUMBER(tbl_project_helper[[#This Row],[Task 1]:[Task 5]]), tbl_project_helper[[#This Row],[Task 1]:[Task 5]], 0)) / COUNTIF(tbl_project_helper[[#This Row],[Task 1]:[Task 5]], "&lt;&gt;N/A"), -0.01)</f>
        <v>0</v>
      </c>
      <c r="U12" t="str" cm="1">
        <f t="array" aca="1" ref="U12" ca="1">Information!$B$2&amp;" " &amp; INDIRECT("ProjectPlan!B"&amp;B12)</f>
        <v>STORY 4.2.0</v>
      </c>
      <c r="V12" cm="1">
        <f t="array" aca="1" ref="V12" ca="1">INDIRECT("ProjectPlan!G"&amp;S12)</f>
        <v>17</v>
      </c>
      <c r="W12">
        <f ca="1">COUNTIF(tbl_project_helper[[#This Row],[Task 1]:[Task 5]],"N/A")</f>
        <v>0</v>
      </c>
      <c r="X12" t="str" cm="1">
        <f t="array" aca="1" ref="X12" ca="1">INDIRECT("ProjectPlan!C"&amp;B12)</f>
        <v>Phase 2 Deployment - UAT</v>
      </c>
    </row>
    <row r="13" spans="2:24" x14ac:dyDescent="0.25">
      <c r="B13">
        <f t="shared" si="5"/>
        <v>66</v>
      </c>
      <c r="C13" s="105" t="str">
        <f ca="1">IF(OR(tbl_project_helper[[#This Row],[check]]=0,tbl_project_helper[[#This Row],[check]]=""),"",tbl_project_helper[[#This Row],[check]])</f>
        <v>Phase 3 Deployment  - PROD</v>
      </c>
      <c r="D13" s="15" cm="1">
        <f t="array" aca="1" ref="D13" ca="1">IF(tbl_project_helper[[#This Row],[Used]]&lt;5,INDIRECT("ProjectPlan!E"&amp;L13),"")</f>
        <v>45769</v>
      </c>
      <c r="E13" s="15" cm="1">
        <f t="array" aca="1" ref="E13" ca="1">IF(tbl_project_helper[[#This Row],[Used]]&lt;5,INDIRECT("ProjectPlan!E"&amp;M13),"")</f>
        <v>45771</v>
      </c>
      <c r="F13" s="16" cm="1">
        <f t="array" aca="1" ref="F13" ca="1">INDIRECT("ProjectPlan!I"&amp;N13)</f>
        <v>0</v>
      </c>
      <c r="G13" s="16" cm="1">
        <f t="array" aca="1" ref="G13" ca="1">INDIRECT("ProjectPlan!I"&amp;O13)</f>
        <v>0</v>
      </c>
      <c r="H13" s="16" cm="1">
        <f t="array" aca="1" ref="H13" ca="1">INDIRECT("ProjectPlan!I"&amp;P13)</f>
        <v>0</v>
      </c>
      <c r="I13" s="16" cm="1">
        <f t="array" aca="1" ref="I13" ca="1">INDIRECT("ProjectPlan!I"&amp;Q13)</f>
        <v>0</v>
      </c>
      <c r="J13" s="16" cm="1">
        <f t="array" aca="1" ref="J13" ca="1">INDIRECT("ProjectPlan!I"&amp;R13)</f>
        <v>0</v>
      </c>
      <c r="K13" s="12">
        <f ca="1">IF(tbl_project_helper[[#This Row],[Used]]&lt;5,IF(AND(MONTH(tbl_project_helper[[#This Row],[End]])=MONTH(DATEVALUE($D$24&amp;" 1")), YEAR(tbl_project_helper[[#This Row],[End]])=YEAR(DATEVALUE("1 "&amp;$D$24&amp;" "&amp;$E$24))), 1, 0),0)</f>
        <v>0</v>
      </c>
      <c r="L13">
        <f t="shared" si="1"/>
        <v>67</v>
      </c>
      <c r="M13">
        <f t="shared" si="2"/>
        <v>72</v>
      </c>
      <c r="N13">
        <f t="shared" si="3"/>
        <v>67</v>
      </c>
      <c r="O13">
        <f t="shared" ref="O13:R13" si="13">N13+1</f>
        <v>68</v>
      </c>
      <c r="P13">
        <f t="shared" si="13"/>
        <v>69</v>
      </c>
      <c r="Q13">
        <f t="shared" si="13"/>
        <v>70</v>
      </c>
      <c r="R13">
        <f t="shared" si="13"/>
        <v>71</v>
      </c>
      <c r="S13">
        <f>tbl_project_helper[[#This Row],[g]]+1</f>
        <v>72</v>
      </c>
      <c r="T13" s="22" cm="1">
        <f t="array" aca="1" ref="T13" ca="1">IFERROR(SUM(IF(ISNUMBER(tbl_project_helper[[#This Row],[Task 1]:[Task 5]]), tbl_project_helper[[#This Row],[Task 1]:[Task 5]], 0)) / COUNTIF(tbl_project_helper[[#This Row],[Task 1]:[Task 5]], "&lt;&gt;N/A"), -0.01)</f>
        <v>0</v>
      </c>
      <c r="U13" t="str" cm="1">
        <f t="array" aca="1" ref="U13" ca="1">Information!$B$2&amp;" " &amp; INDIRECT("ProjectPlan!B"&amp;B13)</f>
        <v>STORY 4.3.0</v>
      </c>
      <c r="V13" cm="1">
        <f t="array" aca="1" ref="V13" ca="1">INDIRECT("ProjectPlan!G"&amp;S13)</f>
        <v>8</v>
      </c>
      <c r="W13">
        <f ca="1">COUNTIF(tbl_project_helper[[#This Row],[Task 1]:[Task 5]],"N/A")</f>
        <v>0</v>
      </c>
      <c r="X13" t="str" cm="1">
        <f t="array" aca="1" ref="X13" ca="1">INDIRECT("ProjectPlan!C"&amp;B13)</f>
        <v>Phase 3 Deployment  - PROD</v>
      </c>
    </row>
    <row r="14" spans="2:24" x14ac:dyDescent="0.25">
      <c r="B14">
        <f>B13+7</f>
        <v>73</v>
      </c>
      <c r="C14" s="105" t="str">
        <f ca="1">IF(OR(tbl_project_helper[[#This Row],[check]]=0,tbl_project_helper[[#This Row],[check]]=""),"",tbl_project_helper[[#This Row],[check]])</f>
        <v>Finalise Plan for Production</v>
      </c>
      <c r="D14" s="15" cm="1">
        <f t="array" aca="1" ref="D14" ca="1">IF(tbl_project_helper[[#This Row],[Used]]&lt;5,INDIRECT("ProjectPlan!E"&amp;L14),"")</f>
        <v>45769</v>
      </c>
      <c r="E14" s="15" cm="1">
        <f t="array" aca="1" ref="E14" ca="1">IF(tbl_project_helper[[#This Row],[Used]]&lt;5,INDIRECT("ProjectPlan!E"&amp;M14),"")</f>
        <v>45785</v>
      </c>
      <c r="F14" s="16" cm="1">
        <f t="array" aca="1" ref="F14" ca="1">INDIRECT("ProjectPlan!I"&amp;N14)</f>
        <v>0</v>
      </c>
      <c r="G14" s="16" cm="1">
        <f t="array" aca="1" ref="G14" ca="1">INDIRECT("ProjectPlan!I"&amp;O14)</f>
        <v>0</v>
      </c>
      <c r="H14" s="16" cm="1">
        <f t="array" aca="1" ref="H14" ca="1">INDIRECT("ProjectPlan!I"&amp;P14)</f>
        <v>0</v>
      </c>
      <c r="I14" s="16" cm="1">
        <f t="array" aca="1" ref="I14" ca="1">INDIRECT("ProjectPlan!I"&amp;Q14)</f>
        <v>0</v>
      </c>
      <c r="J14" s="16" t="str" cm="1">
        <f t="array" aca="1" ref="J14" ca="1">INDIRECT("ProjectPlan!I"&amp;R14)</f>
        <v>N/A</v>
      </c>
      <c r="K14" s="12">
        <f ca="1">IF(tbl_project_helper[[#This Row],[Used]]&lt;5,IF(AND(MONTH(tbl_project_helper[[#This Row],[End]])=MONTH(DATEVALUE($D$24&amp;" 1")), YEAR(tbl_project_helper[[#This Row],[End]])=YEAR(DATEVALUE("1 "&amp;$D$24&amp;" "&amp;$E$24))), 1, 0),0)</f>
        <v>0</v>
      </c>
      <c r="L14">
        <f>B14+1</f>
        <v>74</v>
      </c>
      <c r="M14">
        <f>L14+5</f>
        <v>79</v>
      </c>
      <c r="N14">
        <f>L14</f>
        <v>74</v>
      </c>
      <c r="O14">
        <f t="shared" ref="O14:R16" si="14">N14+1</f>
        <v>75</v>
      </c>
      <c r="P14">
        <f t="shared" si="14"/>
        <v>76</v>
      </c>
      <c r="Q14">
        <f t="shared" si="14"/>
        <v>77</v>
      </c>
      <c r="R14">
        <f t="shared" si="14"/>
        <v>78</v>
      </c>
      <c r="S14">
        <f>tbl_project_helper[[#This Row],[g]]+1</f>
        <v>79</v>
      </c>
      <c r="T14" s="22" cm="1">
        <f t="array" aca="1" ref="T14" ca="1">IFERROR(SUM(IF(ISNUMBER(tbl_project_helper[[#This Row],[Task 1]:[Task 5]]), tbl_project_helper[[#This Row],[Task 1]:[Task 5]], 0)) / COUNTIF(tbl_project_helper[[#This Row],[Task 1]:[Task 5]], "&lt;&gt;N/A"), -0.01)</f>
        <v>0</v>
      </c>
      <c r="U14" t="str" cm="1">
        <f t="array" aca="1" ref="U14" ca="1">Information!$B$2&amp;" " &amp; INDIRECT("ProjectPlan!B"&amp;B14)</f>
        <v>STORY 5.1.0</v>
      </c>
      <c r="V14" cm="1">
        <f t="array" aca="1" ref="V14" ca="1">INDIRECT("ProjectPlan!G"&amp;S14)</f>
        <v>20</v>
      </c>
      <c r="W14">
        <f ca="1">COUNTIF(tbl_project_helper[[#This Row],[Task 1]:[Task 5]],"N/A")</f>
        <v>1</v>
      </c>
      <c r="X14" t="str" cm="1">
        <f t="array" aca="1" ref="X14" ca="1">INDIRECT("ProjectPlan!C"&amp;B14)</f>
        <v>Finalise Plan for Production</v>
      </c>
    </row>
    <row r="15" spans="2:24" x14ac:dyDescent="0.25">
      <c r="B15">
        <f>B14+7</f>
        <v>80</v>
      </c>
      <c r="C15" s="105" t="str">
        <f ca="1">IF(OR(tbl_project_helper[[#This Row],[check]]=0,tbl_project_helper[[#This Row],[check]]=""),"",tbl_project_helper[[#This Row],[check]])</f>
        <v>None</v>
      </c>
      <c r="D15" s="15" t="str" cm="1">
        <f t="array" aca="1" ref="D15" ca="1">IF(tbl_project_helper[[#This Row],[Used]]&lt;5,INDIRECT("ProjectPlan!E"&amp;L15),"")</f>
        <v/>
      </c>
      <c r="E15" s="15" t="str" cm="1">
        <f t="array" aca="1" ref="E15" ca="1">IF(tbl_project_helper[[#This Row],[Used]]&lt;5,INDIRECT("ProjectPlan!E"&amp;M15),"")</f>
        <v/>
      </c>
      <c r="F15" s="16" t="str" cm="1">
        <f t="array" aca="1" ref="F15" ca="1">INDIRECT("ProjectPlan!I"&amp;N15)</f>
        <v>N/A</v>
      </c>
      <c r="G15" s="16" t="str" cm="1">
        <f t="array" aca="1" ref="G15" ca="1">INDIRECT("ProjectPlan!I"&amp;O15)</f>
        <v>N/A</v>
      </c>
      <c r="H15" s="16" t="str" cm="1">
        <f t="array" aca="1" ref="H15" ca="1">INDIRECT("ProjectPlan!I"&amp;P15)</f>
        <v>N/A</v>
      </c>
      <c r="I15" s="16" t="str" cm="1">
        <f t="array" aca="1" ref="I15" ca="1">INDIRECT("ProjectPlan!I"&amp;Q15)</f>
        <v>N/A</v>
      </c>
      <c r="J15" s="16" t="str" cm="1">
        <f t="array" aca="1" ref="J15" ca="1">INDIRECT("ProjectPlan!I"&amp;R15)</f>
        <v>N/A</v>
      </c>
      <c r="K15" s="12">
        <f ca="1">IF(tbl_project_helper[[#This Row],[Used]]&lt;5,IF(AND(MONTH(tbl_project_helper[[#This Row],[End]])=MONTH(DATEVALUE($D$24&amp;" 1")), YEAR(tbl_project_helper[[#This Row],[End]])=YEAR(DATEVALUE("1 "&amp;$D$24&amp;" "&amp;$E$24))), 1, 0),0)</f>
        <v>0</v>
      </c>
      <c r="L15">
        <f>B15+1</f>
        <v>81</v>
      </c>
      <c r="M15">
        <f>L15+5</f>
        <v>86</v>
      </c>
      <c r="N15">
        <f>L15</f>
        <v>81</v>
      </c>
      <c r="O15">
        <f t="shared" si="14"/>
        <v>82</v>
      </c>
      <c r="P15">
        <f t="shared" si="14"/>
        <v>83</v>
      </c>
      <c r="Q15">
        <f t="shared" si="14"/>
        <v>84</v>
      </c>
      <c r="R15">
        <f t="shared" si="14"/>
        <v>85</v>
      </c>
      <c r="S15">
        <f>tbl_project_helper[[#This Row],[g]]+1</f>
        <v>86</v>
      </c>
      <c r="T15" s="22" cm="1">
        <f t="array" aca="1" ref="T15" ca="1">IFERROR(SUM(IF(ISNUMBER(tbl_project_helper[[#This Row],[Task 1]:[Task 5]]), tbl_project_helper[[#This Row],[Task 1]:[Task 5]], 0)) / COUNTIF(tbl_project_helper[[#This Row],[Task 1]:[Task 5]], "&lt;&gt;N/A"), -0.01)</f>
        <v>-0.01</v>
      </c>
      <c r="U15" t="str" cm="1">
        <f t="array" aca="1" ref="U15" ca="1">Information!$B$2&amp;" " &amp; INDIRECT("ProjectPlan!B"&amp;B15)</f>
        <v>STORY 6.1.0</v>
      </c>
      <c r="V15" cm="1">
        <f t="array" aca="1" ref="V15" ca="1">INDIRECT("ProjectPlan!G"&amp;S15)</f>
        <v>0</v>
      </c>
      <c r="W15">
        <f ca="1">COUNTIF(tbl_project_helper[[#This Row],[Task 1]:[Task 5]],"N/A")</f>
        <v>5</v>
      </c>
      <c r="X15" t="str" cm="1">
        <f t="array" aca="1" ref="X15" ca="1">INDIRECT("ProjectPlan!C"&amp;B15)</f>
        <v>None</v>
      </c>
    </row>
    <row r="16" spans="2:24" x14ac:dyDescent="0.25">
      <c r="B16">
        <f>B15+7</f>
        <v>87</v>
      </c>
      <c r="C16" s="105" t="str">
        <f ca="1">IF(OR(tbl_project_helper[[#This Row],[check]]=0,tbl_project_helper[[#This Row],[check]]=""),"",tbl_project_helper[[#This Row],[check]])</f>
        <v>None</v>
      </c>
      <c r="D16" s="15" t="str" cm="1">
        <f t="array" aca="1" ref="D16" ca="1">IF(tbl_project_helper[[#This Row],[Used]]&lt;5,INDIRECT("ProjectPlan!E"&amp;L16),"")</f>
        <v/>
      </c>
      <c r="E16" s="15" t="str" cm="1">
        <f t="array" aca="1" ref="E16" ca="1">IF(tbl_project_helper[[#This Row],[Used]]&lt;5,INDIRECT("ProjectPlan!E"&amp;M16),"")</f>
        <v/>
      </c>
      <c r="F16" s="16" t="str" cm="1">
        <f t="array" aca="1" ref="F16" ca="1">INDIRECT("ProjectPlan!I"&amp;N16)</f>
        <v>N/A</v>
      </c>
      <c r="G16" s="16" t="str" cm="1">
        <f t="array" aca="1" ref="G16" ca="1">INDIRECT("ProjectPlan!I"&amp;O16)</f>
        <v>N/A</v>
      </c>
      <c r="H16" s="16" t="str" cm="1">
        <f t="array" aca="1" ref="H16" ca="1">INDIRECT("ProjectPlan!I"&amp;P16)</f>
        <v>N/A</v>
      </c>
      <c r="I16" s="16" t="str" cm="1">
        <f t="array" aca="1" ref="I16" ca="1">INDIRECT("ProjectPlan!I"&amp;Q16)</f>
        <v>N/A</v>
      </c>
      <c r="J16" s="16" t="str" cm="1">
        <f t="array" aca="1" ref="J16" ca="1">INDIRECT("ProjectPlan!I"&amp;R16)</f>
        <v>N/A</v>
      </c>
      <c r="K16" s="12">
        <f ca="1">IF(tbl_project_helper[[#This Row],[Used]]&lt;5,IF(AND(MONTH(tbl_project_helper[[#This Row],[End]])=MONTH(DATEVALUE($D$24&amp;" 1")), YEAR(tbl_project_helper[[#This Row],[End]])=YEAR(DATEVALUE("1 "&amp;$D$24&amp;" "&amp;$E$24))), 1, 0),0)</f>
        <v>0</v>
      </c>
      <c r="L16">
        <f>B16+1</f>
        <v>88</v>
      </c>
      <c r="M16">
        <f>L16+5</f>
        <v>93</v>
      </c>
      <c r="N16">
        <f>L16</f>
        <v>88</v>
      </c>
      <c r="O16">
        <f t="shared" si="14"/>
        <v>89</v>
      </c>
      <c r="P16">
        <f t="shared" si="14"/>
        <v>90</v>
      </c>
      <c r="Q16">
        <f t="shared" si="14"/>
        <v>91</v>
      </c>
      <c r="R16">
        <f t="shared" si="14"/>
        <v>92</v>
      </c>
      <c r="S16">
        <f>tbl_project_helper[[#This Row],[g]]+1</f>
        <v>93</v>
      </c>
      <c r="T16" s="22" cm="1">
        <f t="array" aca="1" ref="T16" ca="1">IFERROR(SUM(IF(ISNUMBER(tbl_project_helper[[#This Row],[Task 1]:[Task 5]]), tbl_project_helper[[#This Row],[Task 1]:[Task 5]], 0)) / COUNTIF(tbl_project_helper[[#This Row],[Task 1]:[Task 5]], "&lt;&gt;N/A"), -0.01)</f>
        <v>-0.01</v>
      </c>
      <c r="U16" t="str" cm="1">
        <f t="array" aca="1" ref="U16" ca="1">Information!$B$2&amp;" " &amp; INDIRECT("ProjectPlan!B"&amp;B16)</f>
        <v>STORY 6.2.0</v>
      </c>
      <c r="V16" cm="1">
        <f t="array" aca="1" ref="V16" ca="1">INDIRECT("ProjectPlan!G"&amp;S16)</f>
        <v>0</v>
      </c>
      <c r="W16">
        <f ca="1">COUNTIF(tbl_project_helper[[#This Row],[Task 1]:[Task 5]],"N/A")</f>
        <v>5</v>
      </c>
      <c r="X16" t="str" cm="1">
        <f t="array" aca="1" ref="X16" ca="1">INDIRECT("ProjectPlan!C"&amp;B16)</f>
        <v>None</v>
      </c>
    </row>
    <row r="18" spans="2:22" x14ac:dyDescent="0.25">
      <c r="C18" s="21" t="s">
        <v>44</v>
      </c>
      <c r="D18" s="21" t="s">
        <v>34</v>
      </c>
      <c r="E18" s="21"/>
      <c r="F18" s="21" t="s">
        <v>35</v>
      </c>
      <c r="G18" s="21"/>
    </row>
    <row r="19" spans="2:22" x14ac:dyDescent="0.25">
      <c r="C19" t="str">
        <f>ProjectSummary!G2</f>
        <v>March</v>
      </c>
      <c r="D19" cm="1">
        <f t="array" aca="1" ref="D19" ca="1">_xlfn.UNIQUE(_xlfn._xlws.FILTER(YEAR(_xlfn.TOCOL(tbl_project_helper[[Start]:[End]], 1)), TEXT(_xlfn.TOCOL(tbl_project_helper[[Start]:[End]], 1), "mmmm")=C19))</f>
        <v>2025</v>
      </c>
      <c r="F19" t="str" cm="1">
        <f t="array" aca="1" ref="F19:F23" ca="1">_xlfn._xlws.FILTER(
    _xlfn.SORTBY(
        _xlfn.UNIQUE(TEXT(_xlfn.TOCOL(tbl_project_helper[[Start]:[End]],1),"mmmm")),
        MONTH(1&amp;_xlfn.UNIQUE(TEXT(_xlfn.TOCOL(tbl_project_helper[[Start]:[End]],1),"mmmm")))
    ),
    _xlfn.SORTBY(
        _xlfn.UNIQUE(TEXT(_xlfn.TOCOL(tbl_project_helper[[Start]:[End]],1),"mmmm")),
        MONTH(1&amp;_xlfn.UNIQUE(TEXT(_xlfn.TOCOL(tbl_project_helper[[Start]:[End]],1),"mmmm")))
    )&lt;&gt;""
)</f>
        <v>January</v>
      </c>
      <c r="T19" s="24"/>
    </row>
    <row r="20" spans="2:22" x14ac:dyDescent="0.25">
      <c r="F20" t="str">
        <f ca="1"/>
        <v>February</v>
      </c>
    </row>
    <row r="21" spans="2:22" x14ac:dyDescent="0.25">
      <c r="F21" t="str">
        <f ca="1"/>
        <v>March</v>
      </c>
    </row>
    <row r="22" spans="2:22" ht="15.75" x14ac:dyDescent="0.25">
      <c r="F22" t="str">
        <f ca="1"/>
        <v>April</v>
      </c>
      <c r="G22" s="141" t="s">
        <v>80</v>
      </c>
    </row>
    <row r="23" spans="2:22" ht="15.75" x14ac:dyDescent="0.25">
      <c r="F23" t="str">
        <f ca="1"/>
        <v>May</v>
      </c>
      <c r="G23" s="142" t="s">
        <v>31</v>
      </c>
    </row>
    <row r="24" spans="2:22" ht="18.75" x14ac:dyDescent="0.25">
      <c r="C24" s="21" t="s">
        <v>45</v>
      </c>
      <c r="D24" s="21" t="str">
        <f>ProjectSummary!G2</f>
        <v>March</v>
      </c>
      <c r="E24" s="21">
        <f>ProjectSummary!H2</f>
        <v>2025</v>
      </c>
      <c r="G24" s="97" t="s">
        <v>46</v>
      </c>
      <c r="H24" s="96" t="s">
        <v>47</v>
      </c>
      <c r="I24" s="97" t="s">
        <v>48</v>
      </c>
      <c r="J24" s="97" t="s">
        <v>49</v>
      </c>
      <c r="K24" s="97" t="s">
        <v>50</v>
      </c>
      <c r="L24" s="97" t="s">
        <v>51</v>
      </c>
      <c r="M24" s="98" t="s">
        <v>52</v>
      </c>
      <c r="T24" s="21" t="s">
        <v>131</v>
      </c>
      <c r="V24" s="21" t="s">
        <v>306</v>
      </c>
    </row>
    <row r="25" spans="2:22" ht="18.75" x14ac:dyDescent="0.25">
      <c r="G25" s="27" cm="1">
        <f t="array" ref="G25:M30">_xlfn.SEQUENCE(6,7,DATEVALUE(D24&amp;E24)-WEEKDAY(DATEVALUE(D24&amp;E24)-1, 2)+0)</f>
        <v>45712</v>
      </c>
      <c r="H25" s="25">
        <v>45713</v>
      </c>
      <c r="I25" s="26">
        <v>45714</v>
      </c>
      <c r="J25" s="32">
        <v>45715</v>
      </c>
      <c r="K25" s="27">
        <v>45716</v>
      </c>
      <c r="L25" s="28">
        <v>45717</v>
      </c>
      <c r="M25" s="99">
        <v>45718</v>
      </c>
      <c r="T25" cm="1">
        <f t="array" ref="T25:T30">_xlfn.SEQUENCE((MAX(ProjectSchedule!H9:H85)/3)+1,1,1,3)</f>
        <v>1</v>
      </c>
      <c r="V25" cm="1">
        <f t="array" ref="V25:V40">_xlfn.UNIQUE(ProjectSchedule!H9:H85,FALSE,FALSE)</f>
        <v>1</v>
      </c>
    </row>
    <row r="26" spans="2:22" ht="18.75" x14ac:dyDescent="0.25">
      <c r="B26" s="238" t="s">
        <v>10</v>
      </c>
      <c r="C26" s="239" t="s">
        <v>11</v>
      </c>
      <c r="D26" s="240" t="s">
        <v>405</v>
      </c>
      <c r="E26" s="240" t="s">
        <v>404</v>
      </c>
      <c r="G26" s="102">
        <v>45719</v>
      </c>
      <c r="H26" s="25">
        <v>45720</v>
      </c>
      <c r="I26" s="27">
        <v>45721</v>
      </c>
      <c r="J26" s="25">
        <v>45722</v>
      </c>
      <c r="K26" s="27">
        <v>45723</v>
      </c>
      <c r="L26" s="28">
        <v>45724</v>
      </c>
      <c r="M26" s="99">
        <v>45725</v>
      </c>
      <c r="T26">
        <v>4</v>
      </c>
      <c r="V26">
        <v>2</v>
      </c>
    </row>
    <row r="27" spans="2:22" ht="18.75" x14ac:dyDescent="0.25">
      <c r="B27" s="38" t="s">
        <v>12</v>
      </c>
      <c r="C27" s="39" t="s">
        <v>13</v>
      </c>
      <c r="D27" s="37" cm="1">
        <f t="array" aca="1" ref="D27" ca="1">SUMPRODUCT((tbl_project_helper[Selected]=1)*MMULT(--(tbl_project_helper[[Task 1]:[Task 5]]=B27), TRANSPOSE(COLUMN(tbl_project_helper[[Task 1]:[Task 5]])^0)))</f>
        <v>0</v>
      </c>
      <c r="E27" s="37" cm="1">
        <f t="array" aca="1" ref="E27" ca="1">SUMPRODUCT(MMULT(--(tbl_project_helper[[Task 1]:[Task 5]]=B27), TRANSPOSE(COLUMN(tbl_project_helper[[Task 1]:[Task 5]])^0)))</f>
        <v>12</v>
      </c>
      <c r="G27" s="27">
        <v>45726</v>
      </c>
      <c r="H27" s="26">
        <v>45727</v>
      </c>
      <c r="I27" s="29">
        <v>45728</v>
      </c>
      <c r="J27" s="33">
        <v>45729</v>
      </c>
      <c r="K27" s="29">
        <v>45730</v>
      </c>
      <c r="L27" s="28">
        <v>45731</v>
      </c>
      <c r="M27" s="99">
        <v>45732</v>
      </c>
      <c r="T27">
        <v>7</v>
      </c>
      <c r="V27">
        <v>3</v>
      </c>
    </row>
    <row r="28" spans="2:22" ht="18.75" x14ac:dyDescent="0.25">
      <c r="B28" s="40">
        <v>0</v>
      </c>
      <c r="C28" s="41" t="s">
        <v>14</v>
      </c>
      <c r="D28" s="37" cm="1">
        <f t="array" aca="1" ref="D28" ca="1">SUMPRODUCT((tbl_project_helper[Selected]=1)*MMULT(--(tbl_project_helper[[Task 1]:[Task 5]]=B28), TRANSPOSE(COLUMN(tbl_project_helper[[Task 1]:[Task 5]])^0)))</f>
        <v>4</v>
      </c>
      <c r="E28" s="37" cm="1">
        <f t="array" aca="1" ref="E28" ca="1">SUMPRODUCT(MMULT(--(tbl_project_helper[[Task 1]:[Task 5]]=B28), TRANSPOSE(COLUMN(tbl_project_helper[[Task 1]:[Task 5]])^0)))</f>
        <v>37</v>
      </c>
      <c r="G28" s="27">
        <v>45733</v>
      </c>
      <c r="H28" s="25">
        <v>45734</v>
      </c>
      <c r="I28" s="27">
        <v>45735</v>
      </c>
      <c r="J28" s="25">
        <v>45736</v>
      </c>
      <c r="K28" s="27">
        <v>45737</v>
      </c>
      <c r="L28" s="28">
        <v>45738</v>
      </c>
      <c r="M28" s="99">
        <v>45739</v>
      </c>
      <c r="T28">
        <v>10</v>
      </c>
      <c r="V28">
        <v>4</v>
      </c>
    </row>
    <row r="29" spans="2:22" ht="18.75" x14ac:dyDescent="0.25">
      <c r="B29" s="42">
        <v>0.1</v>
      </c>
      <c r="C29" s="43" t="s">
        <v>15</v>
      </c>
      <c r="D29" s="36" cm="1">
        <f t="array" aca="1" ref="D29" ca="1">SUMPRODUCT((tbl_project_helper[Selected]=1)*MMULT(--(tbl_project_helper[[Task 1]:[Task 5]]=B29), TRANSPOSE(COLUMN(tbl_project_helper[[Task 1]:[Task 5]])^0)))</f>
        <v>2</v>
      </c>
      <c r="E29" s="37" cm="1">
        <f t="array" aca="1" ref="E29" ca="1">SUMPRODUCT(MMULT(--(tbl_project_helper[[Task 1]:[Task 5]]=B29), TRANSPOSE(COLUMN(tbl_project_helper[[Task 1]:[Task 5]])^0)))</f>
        <v>3</v>
      </c>
      <c r="G29" s="27">
        <v>45740</v>
      </c>
      <c r="H29" s="30">
        <v>45741</v>
      </c>
      <c r="I29" s="30">
        <v>45742</v>
      </c>
      <c r="J29" s="34">
        <v>45743</v>
      </c>
      <c r="K29" s="30">
        <v>45744</v>
      </c>
      <c r="L29" s="31">
        <v>45745</v>
      </c>
      <c r="M29" s="99">
        <v>45746</v>
      </c>
      <c r="T29">
        <v>13</v>
      </c>
      <c r="V29">
        <v>0</v>
      </c>
    </row>
    <row r="30" spans="2:22" ht="18.75" x14ac:dyDescent="0.25">
      <c r="B30" s="44">
        <v>0.2</v>
      </c>
      <c r="C30" s="45" t="s">
        <v>16</v>
      </c>
      <c r="D30" s="37" cm="1">
        <f t="array" aca="1" ref="D30" ca="1">SUMPRODUCT((tbl_project_helper[Selected]=1)*MMULT(--(tbl_project_helper[[Task 1]:[Task 5]]=B30), TRANSPOSE(COLUMN(tbl_project_helper[[Task 1]:[Task 5]])^0)))</f>
        <v>3</v>
      </c>
      <c r="E30" s="37" cm="1">
        <f t="array" aca="1" ref="E30" ca="1">SUMPRODUCT(MMULT(--(tbl_project_helper[[Task 1]:[Task 5]]=B30), TRANSPOSE(COLUMN(tbl_project_helper[[Task 1]:[Task 5]])^0)))</f>
        <v>3</v>
      </c>
      <c r="G30" s="26">
        <v>45747</v>
      </c>
      <c r="H30" s="26">
        <v>45748</v>
      </c>
      <c r="I30" s="32">
        <v>45749</v>
      </c>
      <c r="J30" s="32">
        <v>45750</v>
      </c>
      <c r="K30" s="32">
        <v>45751</v>
      </c>
      <c r="L30" s="101">
        <v>45752</v>
      </c>
      <c r="M30" s="100">
        <v>45753</v>
      </c>
      <c r="T30">
        <v>16</v>
      </c>
      <c r="V30">
        <v>6</v>
      </c>
    </row>
    <row r="31" spans="2:22" ht="15.75" x14ac:dyDescent="0.25">
      <c r="B31" s="42">
        <v>0.25</v>
      </c>
      <c r="C31" s="46" t="s">
        <v>17</v>
      </c>
      <c r="D31" s="36" cm="1">
        <f t="array" aca="1" ref="D31" ca="1">SUMPRODUCT((tbl_project_helper[Selected]=1)*MMULT(--(tbl_project_helper[[Task 1]:[Task 5]]=B31), TRANSPOSE(COLUMN(tbl_project_helper[[Task 1]:[Task 5]])^0)))</f>
        <v>0</v>
      </c>
      <c r="E31" s="37" cm="1">
        <f t="array" aca="1" ref="E31" ca="1">SUMPRODUCT(MMULT(--(tbl_project_helper[[Task 1]:[Task 5]]=B31), TRANSPOSE(COLUMN(tbl_project_helper[[Task 1]:[Task 5]])^0)))</f>
        <v>0</v>
      </c>
      <c r="F31" s="21" t="s">
        <v>53</v>
      </c>
      <c r="V31">
        <v>7</v>
      </c>
    </row>
    <row r="32" spans="2:22" ht="15.75" x14ac:dyDescent="0.25">
      <c r="B32" s="44">
        <v>0.5</v>
      </c>
      <c r="C32" s="45" t="s">
        <v>18</v>
      </c>
      <c r="D32" s="37" cm="1">
        <f t="array" aca="1" ref="D32" ca="1">SUMPRODUCT((tbl_project_helper[Selected]=1)*MMULT(--(tbl_project_helper[[Task 1]:[Task 5]]=B32), TRANSPOSE(COLUMN(tbl_project_helper[[Task 1]:[Task 5]])^0)))</f>
        <v>1</v>
      </c>
      <c r="E32" s="37" cm="1">
        <f t="array" aca="1" ref="E32" ca="1">SUMPRODUCT(MMULT(--(tbl_project_helper[[Task 1]:[Task 5]]=B32), TRANSPOSE(COLUMN(tbl_project_helper[[Task 1]:[Task 5]])^0)))</f>
        <v>1</v>
      </c>
      <c r="F32" s="21" t="s">
        <v>54</v>
      </c>
      <c r="G32" s="21" t="s">
        <v>55</v>
      </c>
      <c r="H32" s="21" t="s">
        <v>56</v>
      </c>
      <c r="V32">
        <v>8</v>
      </c>
    </row>
    <row r="33" spans="2:22" ht="15.75" x14ac:dyDescent="0.25">
      <c r="B33" s="42">
        <v>0.8</v>
      </c>
      <c r="C33" s="46" t="s">
        <v>19</v>
      </c>
      <c r="D33" s="36" cm="1">
        <f t="array" aca="1" ref="D33" ca="1">SUMPRODUCT((tbl_project_helper[Selected]=1)*MMULT(--(tbl_project_helper[[Task 1]:[Task 5]]=B33), TRANSPOSE(COLUMN(tbl_project_helper[[Task 1]:[Task 5]])^0)))</f>
        <v>0</v>
      </c>
      <c r="E33" s="37" cm="1">
        <f t="array" aca="1" ref="E33" ca="1">SUMPRODUCT(MMULT(--(tbl_project_helper[[Task 1]:[Task 5]]=B33), TRANSPOSE(COLUMN(tbl_project_helper[[Task 1]:[Task 5]])^0)))</f>
        <v>0</v>
      </c>
      <c r="F33" s="22" t="str" cm="1">
        <f t="array" aca="1" ref="F33" ca="1">_xlfn._xlws.FILTER(tbl_project_helper[Status],(tbl_project_helper[Selected])=TRUE,"")</f>
        <v/>
      </c>
      <c r="G33" s="22" cm="1">
        <f t="array" aca="1" ref="G33" ca="1">SUMPRODUCT((tbl_project_helper[Selected]=1)*tbl_project_helper[Status])/COUNTA(_xlfn._xlws.FILTER(tbl_project_helper[Status], tbl_project_helper[Selected]=1))</f>
        <v>0.13</v>
      </c>
      <c r="H33" s="22">
        <f ca="1">ABS(G33-1)</f>
        <v>0.87</v>
      </c>
      <c r="V33">
        <v>9</v>
      </c>
    </row>
    <row r="34" spans="2:22" ht="15.75" x14ac:dyDescent="0.25">
      <c r="B34" s="47">
        <v>0.9</v>
      </c>
      <c r="C34" s="48" t="s">
        <v>20</v>
      </c>
      <c r="D34" s="37" cm="1">
        <f t="array" aca="1" ref="D34" ca="1">SUMPRODUCT((tbl_project_helper[Selected]=1)*MMULT(--(tbl_project_helper[[Task 1]:[Task 5]]=B34), TRANSPOSE(COLUMN(tbl_project_helper[[Task 1]:[Task 5]])^0)))</f>
        <v>0</v>
      </c>
      <c r="E34" s="37" cm="1">
        <f t="array" aca="1" ref="E34" ca="1">SUMPRODUCT(MMULT(--(tbl_project_helper[[Task 1]:[Task 5]]=B34), TRANSPOSE(COLUMN(tbl_project_helper[[Task 1]:[Task 5]])^0)))</f>
        <v>0</v>
      </c>
      <c r="F34" s="22"/>
      <c r="V34">
        <v>10</v>
      </c>
    </row>
    <row r="35" spans="2:22" ht="15.75" x14ac:dyDescent="0.25">
      <c r="B35" s="49">
        <v>0.95</v>
      </c>
      <c r="C35" s="50" t="s">
        <v>21</v>
      </c>
      <c r="D35" s="36" cm="1">
        <f t="array" aca="1" ref="D35" ca="1">SUMPRODUCT((tbl_project_helper[Selected]=1)*MMULT(--(tbl_project_helper[[Task 1]:[Task 5]]=B35), TRANSPOSE(COLUMN(tbl_project_helper[[Task 1]:[Task 5]])^0)))</f>
        <v>0</v>
      </c>
      <c r="E35" s="37" cm="1">
        <f t="array" aca="1" ref="E35" ca="1">SUMPRODUCT(MMULT(--(tbl_project_helper[[Task 1]:[Task 5]]=B35), TRANSPOSE(COLUMN(tbl_project_helper[[Task 1]:[Task 5]])^0)))</f>
        <v>5</v>
      </c>
      <c r="F35" s="22" t="b">
        <f ca="1">AND(D27=0,E27=0)</f>
        <v>0</v>
      </c>
      <c r="I35" s="106"/>
      <c r="V35">
        <v>12</v>
      </c>
    </row>
    <row r="36" spans="2:22" ht="15.75" x14ac:dyDescent="0.25">
      <c r="B36" s="47">
        <v>1</v>
      </c>
      <c r="C36" s="48" t="s">
        <v>22</v>
      </c>
      <c r="D36" s="37" cm="1">
        <f t="array" aca="1" ref="D36" ca="1">SUMPRODUCT((tbl_project_helper[Selected]=1)*MMULT(--(tbl_project_helper[[Task 1]:[Task 5]]=B36), TRANSPOSE(COLUMN(tbl_project_helper[[Task 1]:[Task 5]])^0)))</f>
        <v>0</v>
      </c>
      <c r="E36" s="37" cm="1">
        <f t="array" aca="1" ref="E36" ca="1">SUMPRODUCT(MMULT(--(tbl_project_helper[[Task 1]:[Task 5]]=B36), TRANSPOSE(COLUMN(tbl_project_helper[[Task 1]:[Task 5]])^0)))</f>
        <v>4</v>
      </c>
      <c r="V36">
        <v>14</v>
      </c>
    </row>
    <row r="37" spans="2:22" x14ac:dyDescent="0.25">
      <c r="V37">
        <v>15</v>
      </c>
    </row>
    <row r="38" spans="2:22" ht="15.75" x14ac:dyDescent="0.25">
      <c r="B38" s="23" t="s">
        <v>57</v>
      </c>
      <c r="V38" t="str">
        <v/>
      </c>
    </row>
    <row r="39" spans="2:22" x14ac:dyDescent="0.25">
      <c r="B39" t="s">
        <v>7</v>
      </c>
      <c r="C39" t="s">
        <v>0</v>
      </c>
      <c r="D39" t="s">
        <v>58</v>
      </c>
      <c r="E39" t="s">
        <v>59</v>
      </c>
      <c r="V39">
        <v>16</v>
      </c>
    </row>
    <row r="40" spans="2:22" x14ac:dyDescent="0.25">
      <c r="B40" s="1">
        <f t="shared" ref="B40:B52" ca="1" si="15">IF(W4&lt;5,E4,NA())</f>
        <v>45687</v>
      </c>
      <c r="C40" t="str">
        <f t="shared" ref="C40:C52" ca="1" si="16">IF(W4&lt;5,U4,NA())</f>
        <v>STORY 1.1.0</v>
      </c>
      <c r="D40">
        <f ca="1">IF(W4&lt;5,1,NA())</f>
        <v>1</v>
      </c>
      <c r="E40">
        <f t="shared" ref="E40:E52" ca="1" si="17">IF(W4&lt;5,0,NA())</f>
        <v>0</v>
      </c>
      <c r="F40" s="1">
        <f ca="1">IF(W4&lt;5,E4,"")</f>
        <v>45687</v>
      </c>
      <c r="V40">
        <v>17</v>
      </c>
    </row>
    <row r="41" spans="2:22" x14ac:dyDescent="0.25">
      <c r="B41" s="1">
        <f t="shared" ca="1" si="15"/>
        <v>45707</v>
      </c>
      <c r="C41" t="str">
        <f t="shared" ca="1" si="16"/>
        <v>STORY 1.2.0</v>
      </c>
      <c r="D41">
        <f t="shared" ref="D41:D52" ca="1" si="18">IF(W5&lt;5,D40*-1,NA())</f>
        <v>-1</v>
      </c>
      <c r="E41">
        <f t="shared" ca="1" si="17"/>
        <v>0</v>
      </c>
    </row>
    <row r="42" spans="2:22" x14ac:dyDescent="0.25">
      <c r="B42" s="1">
        <f t="shared" ca="1" si="15"/>
        <v>45723</v>
      </c>
      <c r="C42" t="str">
        <f t="shared" ca="1" si="16"/>
        <v>STORY 1.3.0</v>
      </c>
      <c r="D42">
        <f t="shared" ca="1" si="18"/>
        <v>1</v>
      </c>
      <c r="E42">
        <f t="shared" ca="1" si="17"/>
        <v>0</v>
      </c>
    </row>
    <row r="43" spans="2:22" ht="15.75" x14ac:dyDescent="0.25">
      <c r="B43" s="1">
        <f t="shared" ca="1" si="15"/>
        <v>45737</v>
      </c>
      <c r="C43" t="str">
        <f t="shared" ca="1" si="16"/>
        <v>STORY 2.1.0</v>
      </c>
      <c r="D43">
        <f t="shared" ca="1" si="18"/>
        <v>-1</v>
      </c>
      <c r="E43">
        <f t="shared" ca="1" si="17"/>
        <v>0</v>
      </c>
      <c r="G43" s="21" t="s">
        <v>307</v>
      </c>
      <c r="J43" s="23" t="str">
        <f>_xlfn.CONCAT($D$24," ",$E$24," ","Overall Progress")</f>
        <v>March 2025 Overall Progress</v>
      </c>
    </row>
    <row r="44" spans="2:22" x14ac:dyDescent="0.25">
      <c r="B44" s="1">
        <f t="shared" ca="1" si="15"/>
        <v>45751</v>
      </c>
      <c r="C44" t="str">
        <f t="shared" ca="1" si="16"/>
        <v>STORY 2.2.0</v>
      </c>
      <c r="D44">
        <f t="shared" ca="1" si="18"/>
        <v>1</v>
      </c>
      <c r="E44">
        <f t="shared" ca="1" si="17"/>
        <v>0</v>
      </c>
    </row>
    <row r="45" spans="2:22" x14ac:dyDescent="0.25">
      <c r="B45" s="1">
        <f t="shared" ca="1" si="15"/>
        <v>45758</v>
      </c>
      <c r="C45" t="str">
        <f t="shared" ca="1" si="16"/>
        <v>STORY 2.3.0</v>
      </c>
      <c r="D45">
        <f t="shared" ca="1" si="18"/>
        <v>-1</v>
      </c>
      <c r="E45">
        <f t="shared" ca="1" si="17"/>
        <v>0</v>
      </c>
    </row>
    <row r="46" spans="2:22" x14ac:dyDescent="0.25">
      <c r="B46" s="1">
        <f t="shared" ca="1" si="15"/>
        <v>45761</v>
      </c>
      <c r="C46" t="str">
        <f t="shared" ca="1" si="16"/>
        <v>STORY 3.1.0</v>
      </c>
      <c r="D46">
        <f t="shared" ca="1" si="18"/>
        <v>1</v>
      </c>
      <c r="E46">
        <f t="shared" ca="1" si="17"/>
        <v>0</v>
      </c>
    </row>
    <row r="47" spans="2:22" x14ac:dyDescent="0.25">
      <c r="B47" s="1">
        <f t="shared" ca="1" si="15"/>
        <v>45777</v>
      </c>
      <c r="C47" t="str">
        <f t="shared" ca="1" si="16"/>
        <v>STORY 4.1.0</v>
      </c>
      <c r="D47">
        <f t="shared" ca="1" si="18"/>
        <v>-1</v>
      </c>
      <c r="E47">
        <f t="shared" ca="1" si="17"/>
        <v>0</v>
      </c>
    </row>
    <row r="48" spans="2:22" x14ac:dyDescent="0.25">
      <c r="B48" s="1">
        <f t="shared" ca="1" si="15"/>
        <v>45770</v>
      </c>
      <c r="C48" t="str">
        <f t="shared" ca="1" si="16"/>
        <v>STORY 4.2.0</v>
      </c>
      <c r="D48">
        <f t="shared" ca="1" si="18"/>
        <v>1</v>
      </c>
      <c r="E48">
        <f t="shared" ca="1" si="17"/>
        <v>0</v>
      </c>
    </row>
    <row r="49" spans="2:34" x14ac:dyDescent="0.25">
      <c r="B49" s="1">
        <f t="shared" ca="1" si="15"/>
        <v>45771</v>
      </c>
      <c r="C49" t="str">
        <f t="shared" ca="1" si="16"/>
        <v>STORY 4.3.0</v>
      </c>
      <c r="D49">
        <f t="shared" ca="1" si="18"/>
        <v>-1</v>
      </c>
      <c r="E49">
        <f t="shared" ca="1" si="17"/>
        <v>0</v>
      </c>
    </row>
    <row r="50" spans="2:34" x14ac:dyDescent="0.25">
      <c r="B50" s="1">
        <f t="shared" ca="1" si="15"/>
        <v>45785</v>
      </c>
      <c r="C50" t="str">
        <f t="shared" ca="1" si="16"/>
        <v>STORY 5.1.0</v>
      </c>
      <c r="D50">
        <f t="shared" ca="1" si="18"/>
        <v>1</v>
      </c>
      <c r="E50">
        <f t="shared" ca="1" si="17"/>
        <v>0</v>
      </c>
      <c r="AB50" s="24" t="s">
        <v>353</v>
      </c>
    </row>
    <row r="51" spans="2:34" x14ac:dyDescent="0.25">
      <c r="B51" s="1" t="e">
        <f t="shared" ca="1" si="15"/>
        <v>#N/A</v>
      </c>
      <c r="C51" t="e">
        <f t="shared" ca="1" si="16"/>
        <v>#N/A</v>
      </c>
      <c r="D51" t="e">
        <f t="shared" ca="1" si="18"/>
        <v>#N/A</v>
      </c>
      <c r="E51" t="e">
        <f t="shared" ca="1" si="17"/>
        <v>#N/A</v>
      </c>
      <c r="AB51" s="24" t="s">
        <v>320</v>
      </c>
    </row>
    <row r="52" spans="2:34" x14ac:dyDescent="0.25">
      <c r="B52" s="1" t="e">
        <f t="shared" ca="1" si="15"/>
        <v>#N/A</v>
      </c>
      <c r="C52" t="e">
        <f t="shared" ca="1" si="16"/>
        <v>#N/A</v>
      </c>
      <c r="D52" t="e">
        <f t="shared" ca="1" si="18"/>
        <v>#N/A</v>
      </c>
      <c r="E52" t="e">
        <f t="shared" ca="1" si="17"/>
        <v>#N/A</v>
      </c>
      <c r="AB52" s="24" t="s">
        <v>319</v>
      </c>
    </row>
    <row r="54" spans="2:34" ht="15.75" thickBot="1" x14ac:dyDescent="0.3">
      <c r="C54" s="21" t="s">
        <v>308</v>
      </c>
    </row>
    <row r="55" spans="2:34" ht="15.75" thickBot="1" x14ac:dyDescent="0.3">
      <c r="B55" t="s">
        <v>82</v>
      </c>
      <c r="C55" t="str" cm="1">
        <f t="array" ref="C55:V55">_xlfn.TOROW(tbl_roles[ColRef],1,)</f>
        <v>RoleRef_1</v>
      </c>
      <c r="D55" t="str">
        <v>RoleRef_2</v>
      </c>
      <c r="E55" t="str">
        <v>RoleRef_3</v>
      </c>
      <c r="F55" t="str">
        <v>RoleRef_4</v>
      </c>
      <c r="G55" t="str">
        <v>RoleRef_5</v>
      </c>
      <c r="H55" t="str">
        <v>RoleRef_6</v>
      </c>
      <c r="I55" t="str">
        <v>RoleRef_7</v>
      </c>
      <c r="J55" t="str">
        <v>RoleRef_8</v>
      </c>
      <c r="K55" s="12" t="str">
        <v>RoleRef_9</v>
      </c>
      <c r="L55" t="str">
        <v>RoleRef_10</v>
      </c>
      <c r="M55" t="str">
        <v>RoleRef_11</v>
      </c>
      <c r="N55" t="str">
        <v>RoleRef_12</v>
      </c>
      <c r="O55" t="str">
        <v>RoleRef_13</v>
      </c>
      <c r="P55" t="str">
        <v>RoleRef_14</v>
      </c>
      <c r="Q55" t="str">
        <v>RoleRef_15</v>
      </c>
      <c r="R55" t="str">
        <v>RoleRef_16</v>
      </c>
      <c r="S55" t="str">
        <v>RoleRef_17</v>
      </c>
      <c r="T55" t="str">
        <v>RoleRef_18</v>
      </c>
      <c r="U55" t="str">
        <v>RoleRef_19</v>
      </c>
      <c r="V55" t="str">
        <v>RoleRef_20</v>
      </c>
      <c r="X55" s="21" t="s">
        <v>323</v>
      </c>
      <c r="Y55" s="138" t="s">
        <v>107</v>
      </c>
      <c r="AB55" t="str" cm="1">
        <f t="array" aca="1" ref="AB55" ca="1">INDIRECT(Y56,TRUE)</f>
        <v>No Staff Assigned</v>
      </c>
      <c r="AD55" t="b" cm="1">
        <f t="array" aca="1" ref="AD55:AD56" ca="1">IFERROR(IF(AB55=_xlfn._xlws.FILTER(tbl_staff_list[Name],tbl_staff_list[Role]=Y55,),FALSE,TRUE),"No Staff Assigned")</f>
        <v>1</v>
      </c>
      <c r="AG55" s="21" t="s">
        <v>389</v>
      </c>
      <c r="AH55" s="21" t="s">
        <v>390</v>
      </c>
    </row>
    <row r="56" spans="2:34" x14ac:dyDescent="0.25">
      <c r="C56" t="str" cm="1">
        <f t="array" ref="C56">IFERROR(_xlfn.TOCOL(_xlfn._xlws.FILTER(tbl_staff_list[Name],tbl_staff_list[RoleRef]=C55,),1),"No Staff Assigned")</f>
        <v>No Staff Assigned</v>
      </c>
      <c r="D56" t="str" cm="1">
        <f t="array" ref="D56">IFERROR(_xlfn.TOCOL(_xlfn._xlws.FILTER(tbl_staff_list[Name],tbl_staff_list[RoleRef]=D55,),1),"No Staff Assigned")</f>
        <v>No Staff Assigned</v>
      </c>
      <c r="E56" t="str" cm="1">
        <f t="array" ref="E56">IFERROR(_xlfn.TOCOL(_xlfn._xlws.FILTER(tbl_staff_list[Name],tbl_staff_list[RoleRef]=E55,),1),"No Staff Assigned")</f>
        <v>No Staff Assigned</v>
      </c>
      <c r="F56" t="str" cm="1">
        <f t="array" ref="F56">IFERROR(_xlfn.TOCOL(_xlfn._xlws.FILTER(tbl_staff_list[Name],tbl_staff_list[RoleRef]=F55,),1),"No Staff Assigned")</f>
        <v>No Staff Assigned</v>
      </c>
      <c r="G56" t="str" cm="1">
        <f t="array" ref="G56">IFERROR(_xlfn.TOCOL(_xlfn._xlws.FILTER(tbl_staff_list[Name],tbl_staff_list[RoleRef]=G55,),1),"No Staff Assigned")</f>
        <v>No Staff Assigned</v>
      </c>
      <c r="H56" t="str" cm="1">
        <f t="array" ref="H56">IFERROR(_xlfn.TOCOL(_xlfn._xlws.FILTER(tbl_staff_list[Name],tbl_staff_list[RoleRef]=H55,),1),"No Staff Assigned")</f>
        <v>No Staff Assigned</v>
      </c>
      <c r="I56" t="str" cm="1">
        <f t="array" ref="I56">IFERROR(_xlfn.TOCOL(_xlfn._xlws.FILTER(tbl_staff_list[Name],tbl_staff_list[RoleRef]=I55,),1),"No Staff Assigned")</f>
        <v>No Staff Assigned</v>
      </c>
      <c r="J56" t="str" cm="1">
        <f t="array" ref="J56">IFERROR(_xlfn.TOCOL(_xlfn._xlws.FILTER(tbl_staff_list[Name],tbl_staff_list[RoleRef]=J55,),1),"No Staff Assigned")</f>
        <v>No Staff Assigned</v>
      </c>
      <c r="K56" s="12" t="str" cm="1">
        <f t="array" ref="K56">IFERROR(_xlfn.TOCOL(_xlfn._xlws.FILTER(tbl_staff_list[Name],tbl_staff_list[RoleRef]=K55,),1),"No Staff Assigned")</f>
        <v>No Staff Assigned</v>
      </c>
      <c r="L56" t="str" cm="1">
        <f t="array" ref="L56">IFERROR(_xlfn.TOCOL(_xlfn._xlws.FILTER(tbl_staff_list[Name],tbl_staff_list[RoleRef]=L55,),1),"No Staff Assigned")</f>
        <v>No Staff Assigned</v>
      </c>
      <c r="M56" t="str" cm="1">
        <f t="array" ref="M56">IFERROR(_xlfn.TOCOL(_xlfn._xlws.FILTER(tbl_staff_list[Name],tbl_staff_list[RoleRef]=M55,),1),"No Staff Assigned")</f>
        <v>No Staff Assigned</v>
      </c>
      <c r="N56" t="str" cm="1">
        <f t="array" ref="N56">IFERROR(_xlfn.TOCOL(_xlfn._xlws.FILTER(tbl_staff_list[Name],tbl_staff_list[RoleRef]=N55,),1),"No Staff Assigned")</f>
        <v>No Staff Assigned</v>
      </c>
      <c r="O56" t="str" cm="1">
        <f t="array" ref="O56">IFERROR(_xlfn.TOCOL(_xlfn._xlws.FILTER(tbl_staff_list[Name],tbl_staff_list[RoleRef]=O55,),1),"No Staff Assigned")</f>
        <v>No Staff Assigned</v>
      </c>
      <c r="P56" t="str" cm="1">
        <f t="array" ref="P56">IFERROR(_xlfn.TOCOL(_xlfn._xlws.FILTER(tbl_staff_list[Name],tbl_staff_list[RoleRef]=P55,),1),"No Staff Assigned")</f>
        <v>No Staff Assigned</v>
      </c>
      <c r="Q56" t="str" cm="1">
        <f t="array" ref="Q56">IFERROR(_xlfn.TOCOL(_xlfn._xlws.FILTER(tbl_staff_list[Name],tbl_staff_list[RoleRef]=Q55,),1),"No Staff Assigned")</f>
        <v>No Staff Assigned</v>
      </c>
      <c r="R56" t="str" cm="1">
        <f t="array" ref="R56">IFERROR(_xlfn.TOCOL(_xlfn._xlws.FILTER(tbl_staff_list[Name],tbl_staff_list[RoleRef]=R55,),1),"No Staff Assigned")</f>
        <v>No Staff Assigned</v>
      </c>
      <c r="S56" t="str" cm="1">
        <f t="array" ref="S56">IFERROR(_xlfn.TOCOL(_xlfn._xlws.FILTER(tbl_staff_list[Name],tbl_staff_list[RoleRef]=S55,),1),"No Staff Assigned")</f>
        <v>No Staff Assigned</v>
      </c>
      <c r="T56" t="str" cm="1">
        <f t="array" ref="T56">IFERROR(_xlfn.TOCOL(_xlfn._xlws.FILTER(tbl_staff_list[Name],tbl_staff_list[RoleRef]=T55,),1),"No Staff Assigned")</f>
        <v>No Staff Assigned</v>
      </c>
      <c r="U56" t="str" cm="1">
        <f t="array" ref="U56">IFERROR(_xlfn.TOCOL(_xlfn._xlws.FILTER(tbl_staff_list[Name],tbl_staff_list[RoleRef]=U55,),1),"No Staff Assigned")</f>
        <v>No Staff Assigned</v>
      </c>
      <c r="V56" t="str" cm="1">
        <f t="array" ref="V56">IFERROR(_xlfn.TOCOL(_xlfn._xlws.FILTER(tbl_staff_list[Name],tbl_staff_list[RoleRef]=V55,),1),"No Staff Assigned")</f>
        <v>No Staff Assigned</v>
      </c>
      <c r="W56" t="str" cm="1">
        <f t="array" ref="W56">IFERROR(_xlfn.TOCOL(_xlfn._xlws.FILTER(tbl_staff_list[Name],tbl_staff_list[Role]=W55,),1),"")</f>
        <v/>
      </c>
      <c r="X56" t="str" cm="1">
        <f t="array" ref="X56:X70">_xlfn.UNIQUE(tbl_staff_list[Role],FALSE,FALSE)</f>
        <v>Un-Assigned Role</v>
      </c>
      <c r="Y56" t="str" cm="1">
        <f t="array" ref="Y56:Y57">IFERROR(_xlfn.TOCOL(_xlfn._xlws.FILTER(tbl_staff_list[RoleRef],tbl_staff_list[Role]=Data!Y55,),1),"")</f>
        <v>RoleRef_2</v>
      </c>
      <c r="AD56" t="b">
        <f ca="1"/>
        <v>1</v>
      </c>
      <c r="AG56" t="str" cm="1">
        <f t="array" ref="AG56:AG64">_xlfn._xlws.FILTER(tbl_AssignRole[Ref], ISNUMBER(tbl_AssignRole[Done]) * (tbl_AssignRole[Done] &gt;= 0.9))</f>
        <v>1.1.1</v>
      </c>
      <c r="AH56" t="str" cm="1">
        <f t="array" ref="AH56:AH57">_xlfn._xlws.FILTER(CHOOSE({1},tbl_AssignRole[Ref]), ISNUMBER(SEARCH(Information!D6, tbl_AssignRole[Role])), "No match")</f>
        <v>4.2.1</v>
      </c>
    </row>
    <row r="57" spans="2:34" x14ac:dyDescent="0.25">
      <c r="X57" t="str">
        <v>Technical Lead</v>
      </c>
      <c r="Y57" t="str">
        <v>RoleRef_2</v>
      </c>
      <c r="AG57" t="str">
        <v>1.1.2</v>
      </c>
      <c r="AH57" t="str">
        <v>4.3.1</v>
      </c>
    </row>
    <row r="58" spans="2:34" x14ac:dyDescent="0.25">
      <c r="X58" t="str">
        <v>Tester</v>
      </c>
      <c r="AG58" t="str">
        <v>1.1.3</v>
      </c>
    </row>
    <row r="59" spans="2:34" x14ac:dyDescent="0.25">
      <c r="X59" t="str">
        <v>UX Designer</v>
      </c>
      <c r="AG59" t="str">
        <v>1.1.4</v>
      </c>
    </row>
    <row r="60" spans="2:34" x14ac:dyDescent="0.25">
      <c r="X60" t="str">
        <v>Architect</v>
      </c>
      <c r="AG60" t="str">
        <v>1.1.5</v>
      </c>
    </row>
    <row r="61" spans="2:34" x14ac:dyDescent="0.25">
      <c r="X61" t="str">
        <v>Business Analyst</v>
      </c>
      <c r="AG61" t="str">
        <v>1.2.1</v>
      </c>
    </row>
    <row r="62" spans="2:34" x14ac:dyDescent="0.25">
      <c r="X62" t="str">
        <v>Database Developer</v>
      </c>
      <c r="AG62" t="str">
        <v>1.2.2</v>
      </c>
    </row>
    <row r="63" spans="2:34" x14ac:dyDescent="0.25">
      <c r="X63" t="str">
        <v>DevOps Engineer</v>
      </c>
      <c r="AG63" t="str">
        <v>1.2.3</v>
      </c>
    </row>
    <row r="64" spans="2:34" x14ac:dyDescent="0.25">
      <c r="X64" t="str">
        <v>Frontend Developer</v>
      </c>
      <c r="AG64" t="str">
        <v>1.2.4</v>
      </c>
    </row>
    <row r="65" spans="2:30" x14ac:dyDescent="0.25">
      <c r="X65" t="str">
        <v>Performance Lead</v>
      </c>
    </row>
    <row r="66" spans="2:30" x14ac:dyDescent="0.25">
      <c r="X66" t="str">
        <v>Product Owner</v>
      </c>
    </row>
    <row r="67" spans="2:30" x14ac:dyDescent="0.25">
      <c r="X67" t="str">
        <v>Server Developer</v>
      </c>
    </row>
    <row r="68" spans="2:30" x14ac:dyDescent="0.25">
      <c r="X68" t="str">
        <v>IT Support/Helpdesk</v>
      </c>
      <c r="AD68" t="str" cm="1">
        <f t="array" ref="AD68:AD69">Info_task_ref</f>
        <v>4.2.1</v>
      </c>
    </row>
    <row r="69" spans="2:30" x14ac:dyDescent="0.25">
      <c r="X69" t="str">
        <v>Infrastructure Team</v>
      </c>
      <c r="AD69" t="str">
        <v>4.3.1</v>
      </c>
    </row>
    <row r="70" spans="2:30" x14ac:dyDescent="0.25">
      <c r="X70">
        <v>0</v>
      </c>
    </row>
    <row r="75" spans="2:30" x14ac:dyDescent="0.25">
      <c r="B75" s="21" t="s">
        <v>372</v>
      </c>
      <c r="C75" s="21" t="s">
        <v>6</v>
      </c>
      <c r="D75" s="21" t="s">
        <v>352</v>
      </c>
      <c r="E75" s="21" t="s">
        <v>55</v>
      </c>
      <c r="F75" s="21" t="s">
        <v>331</v>
      </c>
      <c r="G75" s="21" t="s">
        <v>98</v>
      </c>
      <c r="H75" s="21" t="s">
        <v>332</v>
      </c>
      <c r="I75" s="21" t="s">
        <v>333</v>
      </c>
      <c r="J75" s="21" t="s">
        <v>368</v>
      </c>
      <c r="K75" s="185" t="s">
        <v>370</v>
      </c>
      <c r="L75" s="21" t="s">
        <v>374</v>
      </c>
      <c r="M75" s="21" t="s">
        <v>165</v>
      </c>
      <c r="N75" s="21" t="s">
        <v>101</v>
      </c>
      <c r="O75" s="21" t="s">
        <v>387</v>
      </c>
      <c r="P75" s="21" t="s">
        <v>398</v>
      </c>
      <c r="Q75" s="21" t="s">
        <v>402</v>
      </c>
      <c r="R75" s="21" t="s">
        <v>401</v>
      </c>
      <c r="U75" t="s">
        <v>392</v>
      </c>
      <c r="V75" t="str" cm="1">
        <f t="array" ref="V75:V128">Used_ref</f>
        <v>1.1.1</v>
      </c>
    </row>
    <row r="76" spans="2:30" x14ac:dyDescent="0.25">
      <c r="B76" t="str">
        <f>IF(tbl_AssignRole[[#This Row],[Ref]]&lt;&gt;0,tbl_AssignRole[[#This Row],[Ref]],"N/A")</f>
        <v>1.1.1</v>
      </c>
      <c r="C76" s="140" t="str">
        <f>ProjectPlan!B4</f>
        <v>1.1.1</v>
      </c>
      <c r="D76" t="str">
        <f>IFERROR(_xlfn.XLOOKUP(C76,tbl_project_planner[Ref],tbl_project_planner[Project],,0,),"")</f>
        <v>Analyse and Document Competitor Platforms</v>
      </c>
      <c r="E76" s="16">
        <f>IF(tbl_AssignRole[[#This Row],[Chk]]="N/A","N/A",IFERROR(_xlfn.XLOOKUP(tbl_AssignRole[[#This Row],[Ref]],tbl_project_planner[Ref],tbl_project_planner[Done%],,0,),""))</f>
        <v>1</v>
      </c>
      <c r="F76" t="str">
        <f>IF(E76&lt;&gt;"N/A",_xlfn.XLOOKUP(C76,tbl_project_planner[Ref],tbl_project_planner[Assigned To],,0,),"")</f>
        <v>Clara Bennett</v>
      </c>
      <c r="G76" t="str">
        <f>IF(E76&lt;&gt;"N/A",_xlfn.XLOOKUP(C76,tbl_project_planner[Ref],tbl_project_planner[Role],,0,),"")</f>
        <v>Product Owner</v>
      </c>
      <c r="H76" t="str">
        <f>IF(E76&lt;&gt;"N/A",_xlfn.XLOOKUP(Data!G76,tbl_roles[Roles],tbl_roles[Short Code],,0,),"")</f>
        <v>PROD</v>
      </c>
      <c r="I76" t="str">
        <f>_xlfn.CONCAT(F76,"-",H76)</f>
        <v>Clara Bennett-PROD</v>
      </c>
      <c r="J76">
        <f>IFERROR(_xlfn.XLOOKUP(C76,tbl_project_planner[Ref],tbl_project_planner[Actual],,0,),"")</f>
        <v>5</v>
      </c>
      <c r="K76" s="12" cm="1">
        <f t="array" ref="K76">IFERROR(_xlfn.XLOOKUP(C76,tbl_project_planner[Ref],IF(tbl_project_planner[Est]&gt;0,tbl_project_planner[Est],"-"),,0,),"")</f>
        <v>5</v>
      </c>
      <c r="L76" s="1">
        <f>IFERROR(_xlfn.XLOOKUP(C76,tbl_project_planner[Ref],tbl_project_planner[Start Date],,0,),"")</f>
        <v>45663</v>
      </c>
      <c r="M76" s="1">
        <f>IFERROR(_xlfn.XLOOKUP(C76,tbl_project_planner[Ref],tbl_project_planner[End Date],,0,),"")</f>
        <v>45667</v>
      </c>
      <c r="N76">
        <f>IFERROR(_xlfn.XLOOKUP(C76,tbl_project_planner[Ref],tbl_project_planner[Elapse],,0,),"")</f>
        <v>5</v>
      </c>
      <c r="O76">
        <f>IFERROR(_xlfn.XLOOKUP(C76,tbl_project_planner[Ref],tbl_project_planner[Holiday],,0,),"")</f>
        <v>0</v>
      </c>
      <c r="P76">
        <f>(_xlfn.XLOOKUP(tbl_AssignRole[[#This Row],[Assigned]],tbl_staff_list[Name],tbl_staff_list[Daily_Rate],0,0))</f>
        <v>32</v>
      </c>
      <c r="Q76">
        <f>IF(tbl_AssignRole[[#This Row],[Chk]]="N/A",0,tbl_AssignRole[[#This Row],[Actual]]*tbl_AssignRole[[#This Row],[Rate]])</f>
        <v>160</v>
      </c>
      <c r="R76">
        <f>IF(tbl_AssignRole[[#This Row],[Chk]]="N/A",0,tbl_AssignRole[[#This Row],[Est]]*tbl_AssignRole[[#This Row],[Rate]])</f>
        <v>160</v>
      </c>
      <c r="U76" t="str" cm="1">
        <f t="array" ref="U76:U129">_xlfn._xlws.FILTER(tbl_AssignRole[Ref],tbl_AssignRole[Ref]&lt;&gt;0)</f>
        <v>1.1.1</v>
      </c>
      <c r="V76" t="str">
        <v>1.1.2</v>
      </c>
      <c r="X76" t="s">
        <v>321</v>
      </c>
    </row>
    <row r="77" spans="2:30" x14ac:dyDescent="0.25">
      <c r="B77" t="str">
        <f>IF(tbl_AssignRole[[#This Row],[Ref]]&lt;&gt;0,tbl_AssignRole[[#This Row],[Ref]],"N/A")</f>
        <v>1.1.2</v>
      </c>
      <c r="C77" s="140" t="str">
        <f>ProjectPlan!B5</f>
        <v>1.1.2</v>
      </c>
      <c r="D77" t="str">
        <f>IFERROR(_xlfn.XLOOKUP(C77,tbl_project_planner[Ref],tbl_project_planner[Project],,0,),"")</f>
        <v>Gather Requirements and Define User Stories</v>
      </c>
      <c r="E77" s="16">
        <f>IF(tbl_AssignRole[[#This Row],[Chk]]="N/A","N/A",IFERROR(_xlfn.XLOOKUP(tbl_AssignRole[[#This Row],[Ref]],tbl_project_planner[Ref],tbl_project_planner[Done%],,0,),""))</f>
        <v>1</v>
      </c>
      <c r="F77" t="str">
        <f>IF(E77&lt;&gt;"N/A",_xlfn.XLOOKUP(C77,tbl_project_planner[Ref],tbl_project_planner[Assigned To],,0,),"")</f>
        <v>James Whitmore</v>
      </c>
      <c r="G77" t="str">
        <f>IF(E77&lt;&gt;"N/A",_xlfn.XLOOKUP(C77,tbl_project_planner[Ref],tbl_project_planner[Role],,0,),"")</f>
        <v>Business Analyst</v>
      </c>
      <c r="H77" t="str">
        <f>IF(E77&lt;&gt;"N/A",_xlfn.XLOOKUP(Data!G77,tbl_roles[Roles],tbl_roles[Short Code],,0,),"")</f>
        <v>BANA</v>
      </c>
      <c r="I77" t="str">
        <f t="shared" ref="I77:I140" si="19">_xlfn.CONCAT(F77,"-",H77)</f>
        <v>James Whitmore-BANA</v>
      </c>
      <c r="J77">
        <f>IFERROR(_xlfn.XLOOKUP(C77,tbl_project_planner[Ref],tbl_project_planner[Actual],,0,),"")</f>
        <v>5</v>
      </c>
      <c r="K77" s="12" cm="1">
        <f t="array" ref="K77">IFERROR(_xlfn.XLOOKUP(C77,tbl_project_planner[Ref],IF(tbl_project_planner[Est]&gt;0,tbl_project_planner[Est],"-"),,0,),"")</f>
        <v>6</v>
      </c>
      <c r="L77" s="1">
        <f>IFERROR(_xlfn.XLOOKUP(C77,tbl_project_planner[Ref],tbl_project_planner[Start Date],,0,),"")</f>
        <v>45670</v>
      </c>
      <c r="M77" s="1">
        <f>IFERROR(_xlfn.XLOOKUP(C77,tbl_project_planner[Ref],tbl_project_planner[End Date],,0,),"")</f>
        <v>45674</v>
      </c>
      <c r="N77">
        <f>IFERROR(_xlfn.XLOOKUP(C77,tbl_project_planner[Ref],tbl_project_planner[Elapse],,0,),"")</f>
        <v>5</v>
      </c>
      <c r="O77">
        <f>IFERROR(_xlfn.XLOOKUP(C77,tbl_project_planner[Ref],tbl_project_planner[Holiday],,0,),"")</f>
        <v>0</v>
      </c>
      <c r="P77">
        <f>(_xlfn.XLOOKUP(tbl_AssignRole[[#This Row],[Assigned]],tbl_staff_list[Name],tbl_staff_list[Daily_Rate],0,0))</f>
        <v>32</v>
      </c>
      <c r="Q77">
        <f>IF(tbl_AssignRole[[#This Row],[Chk]]="N/A",0,tbl_AssignRole[[#This Row],[Actual]]*tbl_AssignRole[[#This Row],[Rate]])</f>
        <v>160</v>
      </c>
      <c r="R77">
        <f>IF(tbl_AssignRole[[#This Row],[Chk]]="N/A",0,tbl_AssignRole[[#This Row],[Est]]*tbl_AssignRole[[#This Row],[Rate]])</f>
        <v>192</v>
      </c>
      <c r="U77" t="str">
        <v>1.1.2</v>
      </c>
      <c r="V77" t="str">
        <v>1.1.3</v>
      </c>
      <c r="X77" t="s">
        <v>322</v>
      </c>
    </row>
    <row r="78" spans="2:30" x14ac:dyDescent="0.25">
      <c r="B78" t="str">
        <f>IF(tbl_AssignRole[[#This Row],[Ref]]&lt;&gt;0,tbl_AssignRole[[#This Row],[Ref]],"N/A")</f>
        <v>1.1.3</v>
      </c>
      <c r="C78" s="140" t="str">
        <f>ProjectPlan!B6</f>
        <v>1.1.3</v>
      </c>
      <c r="D78" t="str">
        <f>IFERROR(_xlfn.XLOOKUP(C78,tbl_project_planner[Ref],tbl_project_planner[Project],,0,),"")</f>
        <v>Plan of Action: Summarise Findings, High Level Objectives and Goals</v>
      </c>
      <c r="E78" s="16">
        <f>IF(tbl_AssignRole[[#This Row],[Chk]]="N/A","N/A",IFERROR(_xlfn.XLOOKUP(tbl_AssignRole[[#This Row],[Ref]],tbl_project_planner[Ref],tbl_project_planner[Done%],,0,),""))</f>
        <v>1</v>
      </c>
      <c r="F78" t="str">
        <f>IF(E78&lt;&gt;"N/A",_xlfn.XLOOKUP(C78,tbl_project_planner[Ref],tbl_project_planner[Assigned To],,0,),"")</f>
        <v>James Whitmore</v>
      </c>
      <c r="G78" t="str">
        <f>IF(E78&lt;&gt;"N/A",_xlfn.XLOOKUP(C78,tbl_project_planner[Ref],tbl_project_planner[Role],,0,),"")</f>
        <v>Business Analyst</v>
      </c>
      <c r="H78" t="str">
        <f>IF(E78&lt;&gt;"N/A",_xlfn.XLOOKUP(Data!G78,tbl_roles[Roles],tbl_roles[Short Code],,0,),"")</f>
        <v>BANA</v>
      </c>
      <c r="I78" t="str">
        <f t="shared" si="19"/>
        <v>James Whitmore-BANA</v>
      </c>
      <c r="J78">
        <f>IFERROR(_xlfn.XLOOKUP(C78,tbl_project_planner[Ref],tbl_project_planner[Actual],,0,),"")</f>
        <v>5</v>
      </c>
      <c r="K78" s="12" cm="1">
        <f t="array" ref="K78">IFERROR(_xlfn.XLOOKUP(C78,tbl_project_planner[Ref],IF(tbl_project_planner[Est]&gt;0,tbl_project_planner[Est],"-"),,0,),"")</f>
        <v>5</v>
      </c>
      <c r="L78" s="1">
        <f>IFERROR(_xlfn.XLOOKUP(C78,tbl_project_planner[Ref],tbl_project_planner[Start Date],,0,),"")</f>
        <v>45677</v>
      </c>
      <c r="M78" s="1">
        <f>IFERROR(_xlfn.XLOOKUP(C78,tbl_project_planner[Ref],tbl_project_planner[End Date],,0,),"")</f>
        <v>45681</v>
      </c>
      <c r="N78">
        <f>IFERROR(_xlfn.XLOOKUP(C78,tbl_project_planner[Ref],tbl_project_planner[Elapse],,0,),"")</f>
        <v>5</v>
      </c>
      <c r="O78">
        <f>IFERROR(_xlfn.XLOOKUP(C78,tbl_project_planner[Ref],tbl_project_planner[Holiday],,0,),"")</f>
        <v>0</v>
      </c>
      <c r="P78">
        <f>(_xlfn.XLOOKUP(tbl_AssignRole[[#This Row],[Assigned]],tbl_staff_list[Name],tbl_staff_list[Daily_Rate],0,0))</f>
        <v>32</v>
      </c>
      <c r="Q78">
        <f>IF(tbl_AssignRole[[#This Row],[Chk]]="N/A",0,tbl_AssignRole[[#This Row],[Actual]]*tbl_AssignRole[[#This Row],[Rate]])</f>
        <v>160</v>
      </c>
      <c r="R78">
        <f>IF(tbl_AssignRole[[#This Row],[Chk]]="N/A",0,tbl_AssignRole[[#This Row],[Est]]*tbl_AssignRole[[#This Row],[Rate]])</f>
        <v>160</v>
      </c>
      <c r="U78" t="str">
        <v>1.1.3</v>
      </c>
      <c r="V78" t="str">
        <v>1.1.4</v>
      </c>
    </row>
    <row r="79" spans="2:30" x14ac:dyDescent="0.25">
      <c r="B79" t="str">
        <f>IF(tbl_AssignRole[[#This Row],[Ref]]&lt;&gt;0,tbl_AssignRole[[#This Row],[Ref]],"N/A")</f>
        <v>1.1.4</v>
      </c>
      <c r="C79" s="140" t="str">
        <f>ProjectPlan!B7</f>
        <v>1.1.4</v>
      </c>
      <c r="D79" t="str">
        <f>IFERROR(_xlfn.XLOOKUP(C79,tbl_project_planner[Ref],tbl_project_planner[Project],,0,),"")</f>
        <v>Agree Stakeholder Expectations after Initial Review</v>
      </c>
      <c r="E79" s="16">
        <f>IF(tbl_AssignRole[[#This Row],[Chk]]="N/A","N/A",IFERROR(_xlfn.XLOOKUP(tbl_AssignRole[[#This Row],[Ref]],tbl_project_planner[Ref],tbl_project_planner[Done%],,0,),""))</f>
        <v>0.95</v>
      </c>
      <c r="F79" t="str">
        <f>IF(E79&lt;&gt;"N/A",_xlfn.XLOOKUP(C79,tbl_project_planner[Ref],tbl_project_planner[Assigned To],,0,),"")</f>
        <v>Clara Bennett</v>
      </c>
      <c r="G79" t="str">
        <f>IF(E79&lt;&gt;"N/A",_xlfn.XLOOKUP(C79,tbl_project_planner[Ref],tbl_project_planner[Role],,0,),"")</f>
        <v>Product Owner</v>
      </c>
      <c r="H79" t="str">
        <f>IF(E79&lt;&gt;"N/A",_xlfn.XLOOKUP(Data!G79,tbl_roles[Roles],tbl_roles[Short Code],,0,),"")</f>
        <v>PROD</v>
      </c>
      <c r="I79" t="str">
        <f t="shared" si="19"/>
        <v>Clara Bennett-PROD</v>
      </c>
      <c r="J79">
        <f>IFERROR(_xlfn.XLOOKUP(C79,tbl_project_planner[Ref],tbl_project_planner[Actual],,0,),"")</f>
        <v>5</v>
      </c>
      <c r="K79" s="12" cm="1">
        <f t="array" ref="K79">IFERROR(_xlfn.XLOOKUP(C79,tbl_project_planner[Ref],IF(tbl_project_planner[Est]&gt;0,tbl_project_planner[Est],"-"),,0,),"")</f>
        <v>3</v>
      </c>
      <c r="L79" s="1">
        <f>IFERROR(_xlfn.XLOOKUP(C79,tbl_project_planner[Ref],tbl_project_planner[Start Date],,0,),"")</f>
        <v>45677</v>
      </c>
      <c r="M79" s="1">
        <f>IFERROR(_xlfn.XLOOKUP(C79,tbl_project_planner[Ref],tbl_project_planner[End Date],,0,),"")</f>
        <v>45681</v>
      </c>
      <c r="N79">
        <f>IFERROR(_xlfn.XLOOKUP(C79,tbl_project_planner[Ref],tbl_project_planner[Elapse],,0,),"")</f>
        <v>5</v>
      </c>
      <c r="O79">
        <f>IFERROR(_xlfn.XLOOKUP(C79,tbl_project_planner[Ref],tbl_project_planner[Holiday],,0,),"")</f>
        <v>0</v>
      </c>
      <c r="P79">
        <f>(_xlfn.XLOOKUP(tbl_AssignRole[[#This Row],[Assigned]],tbl_staff_list[Name],tbl_staff_list[Daily_Rate],0,0))</f>
        <v>32</v>
      </c>
      <c r="Q79">
        <f>IF(tbl_AssignRole[[#This Row],[Chk]]="N/A",0,tbl_AssignRole[[#This Row],[Actual]]*tbl_AssignRole[[#This Row],[Rate]])</f>
        <v>160</v>
      </c>
      <c r="R79">
        <f>IF(tbl_AssignRole[[#This Row],[Chk]]="N/A",0,tbl_AssignRole[[#This Row],[Est]]*tbl_AssignRole[[#This Row],[Rate]])</f>
        <v>96</v>
      </c>
      <c r="U79" t="str">
        <v>1.1.4</v>
      </c>
      <c r="V79" t="str">
        <v>1.1.5</v>
      </c>
    </row>
    <row r="80" spans="2:30" x14ac:dyDescent="0.25">
      <c r="B80" t="str">
        <f>IF(tbl_AssignRole[[#This Row],[Ref]]&lt;&gt;0,tbl_AssignRole[[#This Row],[Ref]],"N/A")</f>
        <v>1.1.5</v>
      </c>
      <c r="C80" s="140" t="str">
        <f>ProjectPlan!B8</f>
        <v>1.1.5</v>
      </c>
      <c r="D80" t="str">
        <f>IFERROR(_xlfn.XLOOKUP(C80,tbl_project_planner[Ref],tbl_project_planner[Project],,0,),"")</f>
        <v>Define Objectives and Key Performance Indicators (KPIs,etc.)</v>
      </c>
      <c r="E80" s="16">
        <f>IF(tbl_AssignRole[[#This Row],[Chk]]="N/A","N/A",IFERROR(_xlfn.XLOOKUP(tbl_AssignRole[[#This Row],[Ref]],tbl_project_planner[Ref],tbl_project_planner[Done%],,0,),""))</f>
        <v>0.95</v>
      </c>
      <c r="F80" t="str">
        <f>IF(E80&lt;&gt;"N/A",_xlfn.XLOOKUP(C80,tbl_project_planner[Ref],tbl_project_planner[Assigned To],,0,),"")</f>
        <v>Liam O'Connor</v>
      </c>
      <c r="G80" t="str">
        <f>IF(E80&lt;&gt;"N/A",_xlfn.XLOOKUP(C80,tbl_project_planner[Ref],tbl_project_planner[Role],,0,),"")</f>
        <v>Business Analyst</v>
      </c>
      <c r="H80" t="str">
        <f>IF(E80&lt;&gt;"N/A",_xlfn.XLOOKUP(Data!G80,tbl_roles[Roles],tbl_roles[Short Code],,0,),"")</f>
        <v>BANA</v>
      </c>
      <c r="I80" t="str">
        <f t="shared" si="19"/>
        <v>Liam O'Connor-BANA</v>
      </c>
      <c r="J80">
        <f>IFERROR(_xlfn.XLOOKUP(C80,tbl_project_planner[Ref],tbl_project_planner[Actual],,0,),"")</f>
        <v>4</v>
      </c>
      <c r="K80" s="12" cm="1">
        <f t="array" ref="K80">IFERROR(_xlfn.XLOOKUP(C80,tbl_project_planner[Ref],IF(tbl_project_planner[Est]&gt;0,tbl_project_planner[Est],"-"),,0,),"")</f>
        <v>5</v>
      </c>
      <c r="L80" s="1">
        <f>IFERROR(_xlfn.XLOOKUP(C80,tbl_project_planner[Ref],tbl_project_planner[Start Date],,0,),"")</f>
        <v>45684</v>
      </c>
      <c r="M80" s="1">
        <f>IFERROR(_xlfn.XLOOKUP(C80,tbl_project_planner[Ref],tbl_project_planner[End Date],,0,),"")</f>
        <v>45687</v>
      </c>
      <c r="N80">
        <f>IFERROR(_xlfn.XLOOKUP(C80,tbl_project_planner[Ref],tbl_project_planner[Elapse],,0,),"")</f>
        <v>4</v>
      </c>
      <c r="O80">
        <f>IFERROR(_xlfn.XLOOKUP(C80,tbl_project_planner[Ref],tbl_project_planner[Holiday],,0,),"")</f>
        <v>0</v>
      </c>
      <c r="P80">
        <f>(_xlfn.XLOOKUP(tbl_AssignRole[[#This Row],[Assigned]],tbl_staff_list[Name],tbl_staff_list[Daily_Rate],0,0))</f>
        <v>35</v>
      </c>
      <c r="Q80">
        <f>IF(tbl_AssignRole[[#This Row],[Chk]]="N/A",0,tbl_AssignRole[[#This Row],[Actual]]*tbl_AssignRole[[#This Row],[Rate]])</f>
        <v>140</v>
      </c>
      <c r="R80">
        <f>IF(tbl_AssignRole[[#This Row],[Chk]]="N/A",0,tbl_AssignRole[[#This Row],[Est]]*tbl_AssignRole[[#This Row],[Rate]])</f>
        <v>175</v>
      </c>
      <c r="U80" t="str">
        <v>1.1.5</v>
      </c>
      <c r="V80" t="str">
        <v>1.2.1</v>
      </c>
    </row>
    <row r="81" spans="2:22" x14ac:dyDescent="0.25">
      <c r="B81" t="str">
        <f>IF(tbl_AssignRole[[#This Row],[Ref]]&lt;&gt;0,tbl_AssignRole[[#This Row],[Ref]],"N/A")</f>
        <v>1.2.1</v>
      </c>
      <c r="C81" s="140" t="str">
        <f>ProjectPlan!B11</f>
        <v>1.2.1</v>
      </c>
      <c r="D81" t="str">
        <f>IFERROR(_xlfn.XLOOKUP(C81,tbl_project_planner[Ref],tbl_project_planner[Project],,0,),"")</f>
        <v>Identify New Functionality and Enhancements</v>
      </c>
      <c r="E81" s="16">
        <f>IF(tbl_AssignRole[[#This Row],[Chk]]="N/A","N/A",IFERROR(_xlfn.XLOOKUP(tbl_AssignRole[[#This Row],[Ref]],tbl_project_planner[Ref],tbl_project_planner[Done%],,0,),""))</f>
        <v>0.95</v>
      </c>
      <c r="F81" t="str">
        <f>IF(E81&lt;&gt;"N/A",_xlfn.XLOOKUP(C81,tbl_project_planner[Ref],tbl_project_planner[Assigned To],,0,),"")</f>
        <v>James Whitmore</v>
      </c>
      <c r="G81" t="str">
        <f>IF(E81&lt;&gt;"N/A",_xlfn.XLOOKUP(C81,tbl_project_planner[Ref],tbl_project_planner[Role],,0,),"")</f>
        <v>Business Analyst</v>
      </c>
      <c r="H81" t="str">
        <f>IF(E81&lt;&gt;"N/A",_xlfn.XLOOKUP(Data!G81,tbl_roles[Roles],tbl_roles[Short Code],,0,),"")</f>
        <v>BANA</v>
      </c>
      <c r="I81" t="str">
        <f t="shared" si="19"/>
        <v>James Whitmore-BANA</v>
      </c>
      <c r="J81">
        <f>IFERROR(_xlfn.XLOOKUP(C81,tbl_project_planner[Ref],tbl_project_planner[Actual],,0,),"")</f>
        <v>8</v>
      </c>
      <c r="K81" s="12" cm="1">
        <f t="array" ref="K81">IFERROR(_xlfn.XLOOKUP(C81,tbl_project_planner[Ref],IF(tbl_project_planner[Est]&gt;0,tbl_project_planner[Est],"-"),,0,),"")</f>
        <v>10</v>
      </c>
      <c r="L81" s="1">
        <f>IFERROR(_xlfn.XLOOKUP(C81,tbl_project_planner[Ref],tbl_project_planner[Start Date],,0,),"")</f>
        <v>45688</v>
      </c>
      <c r="M81" s="1">
        <f>IFERROR(_xlfn.XLOOKUP(C81,tbl_project_planner[Ref],tbl_project_planner[End Date],,0,),"")</f>
        <v>45699</v>
      </c>
      <c r="N81">
        <f>IFERROR(_xlfn.XLOOKUP(C81,tbl_project_planner[Ref],tbl_project_planner[Elapse],,0,),"")</f>
        <v>12</v>
      </c>
      <c r="O81">
        <f>IFERROR(_xlfn.XLOOKUP(C81,tbl_project_planner[Ref],tbl_project_planner[Holiday],,0,),"")</f>
        <v>0</v>
      </c>
      <c r="P81">
        <f>(_xlfn.XLOOKUP(tbl_AssignRole[[#This Row],[Assigned]],tbl_staff_list[Name],tbl_staff_list[Daily_Rate],0,0))</f>
        <v>32</v>
      </c>
      <c r="Q81">
        <f>IF(tbl_AssignRole[[#This Row],[Chk]]="N/A",0,tbl_AssignRole[[#This Row],[Actual]]*tbl_AssignRole[[#This Row],[Rate]])</f>
        <v>256</v>
      </c>
      <c r="R81">
        <f>IF(tbl_AssignRole[[#This Row],[Chk]]="N/A",0,tbl_AssignRole[[#This Row],[Est]]*tbl_AssignRole[[#This Row],[Rate]])</f>
        <v>320</v>
      </c>
      <c r="U81" t="str">
        <v>1.2.1</v>
      </c>
      <c r="V81" t="str">
        <v>1.2.2</v>
      </c>
    </row>
    <row r="82" spans="2:22" x14ac:dyDescent="0.25">
      <c r="B82" t="str">
        <f>IF(tbl_AssignRole[[#This Row],[Ref]]&lt;&gt;0,tbl_AssignRole[[#This Row],[Ref]],"N/A")</f>
        <v>1.2.2</v>
      </c>
      <c r="C82" s="140" t="str">
        <f>ProjectPlan!B12</f>
        <v>1.2.2</v>
      </c>
      <c r="D82" t="str">
        <f>IFERROR(_xlfn.XLOOKUP(C82,tbl_project_planner[Ref],tbl_project_planner[Project],,0,),"")</f>
        <v>Identify and Document Non-Functional Requirements</v>
      </c>
      <c r="E82" s="16">
        <f>IF(tbl_AssignRole[[#This Row],[Chk]]="N/A","N/A",IFERROR(_xlfn.XLOOKUP(tbl_AssignRole[[#This Row],[Ref]],tbl_project_planner[Ref],tbl_project_planner[Done%],,0,),""))</f>
        <v>1</v>
      </c>
      <c r="F82" t="str">
        <f>IF(E82&lt;&gt;"N/A",_xlfn.XLOOKUP(C82,tbl_project_planner[Ref],tbl_project_planner[Assigned To],,0,),"")</f>
        <v>Adam Kowalski</v>
      </c>
      <c r="G82" t="str">
        <f>IF(E82&lt;&gt;"N/A",_xlfn.XLOOKUP(C82,tbl_project_planner[Ref],tbl_project_planner[Role],,0,),"")</f>
        <v>Server Developer</v>
      </c>
      <c r="H82" t="str">
        <f>IF(E82&lt;&gt;"N/A",_xlfn.XLOOKUP(Data!G82,tbl_roles[Roles],tbl_roles[Short Code],,0,),"")</f>
        <v>SERD</v>
      </c>
      <c r="I82" t="str">
        <f t="shared" si="19"/>
        <v>Adam Kowalski-SERD</v>
      </c>
      <c r="J82">
        <f>IFERROR(_xlfn.XLOOKUP(C82,tbl_project_planner[Ref],tbl_project_planner[Actual],,0,),"")</f>
        <v>11</v>
      </c>
      <c r="K82" s="12" cm="1">
        <f t="array" ref="K82">IFERROR(_xlfn.XLOOKUP(C82,tbl_project_planner[Ref],IF(tbl_project_planner[Est]&gt;0,tbl_project_planner[Est],"-"),,0,),"")</f>
        <v>10</v>
      </c>
      <c r="L82" s="1">
        <f>IFERROR(_xlfn.XLOOKUP(C82,tbl_project_planner[Ref],tbl_project_planner[Start Date],,0,),"")</f>
        <v>45684</v>
      </c>
      <c r="M82" s="1">
        <f>IFERROR(_xlfn.XLOOKUP(C82,tbl_project_planner[Ref],tbl_project_planner[End Date],,0,),"")</f>
        <v>45707</v>
      </c>
      <c r="N82">
        <f>IFERROR(_xlfn.XLOOKUP(C82,tbl_project_planner[Ref],tbl_project_planner[Elapse],,0,),"")</f>
        <v>24</v>
      </c>
      <c r="O82">
        <f>IFERROR(_xlfn.XLOOKUP(C82,tbl_project_planner[Ref],tbl_project_planner[Holiday],,0,),"")</f>
        <v>7</v>
      </c>
      <c r="P82">
        <f>(_xlfn.XLOOKUP(tbl_AssignRole[[#This Row],[Assigned]],tbl_staff_list[Name],tbl_staff_list[Daily_Rate],0,0))</f>
        <v>27</v>
      </c>
      <c r="Q82">
        <f>IF(tbl_AssignRole[[#This Row],[Chk]]="N/A",0,tbl_AssignRole[[#This Row],[Actual]]*tbl_AssignRole[[#This Row],[Rate]])</f>
        <v>297</v>
      </c>
      <c r="R82">
        <f>IF(tbl_AssignRole[[#This Row],[Chk]]="N/A",0,tbl_AssignRole[[#This Row],[Est]]*tbl_AssignRole[[#This Row],[Rate]])</f>
        <v>270</v>
      </c>
      <c r="U82" t="str">
        <v>1.2.2</v>
      </c>
      <c r="V82" t="str">
        <v>1.2.3</v>
      </c>
    </row>
    <row r="83" spans="2:22" x14ac:dyDescent="0.25">
      <c r="B83" t="str">
        <f>IF(tbl_AssignRole[[#This Row],[Ref]]&lt;&gt;0,tbl_AssignRole[[#This Row],[Ref]],"N/A")</f>
        <v>1.2.3</v>
      </c>
      <c r="C83" s="140" t="str">
        <f>ProjectPlan!B13</f>
        <v>1.2.3</v>
      </c>
      <c r="D83" t="str">
        <f>IFERROR(_xlfn.XLOOKUP(C83,tbl_project_planner[Ref],tbl_project_planner[Project],,0,),"")</f>
        <v>User Stories to Functional Mapping and Enhancements</v>
      </c>
      <c r="E83" s="16">
        <f>IF(tbl_AssignRole[[#This Row],[Chk]]="N/A","N/A",IFERROR(_xlfn.XLOOKUP(tbl_AssignRole[[#This Row],[Ref]],tbl_project_planner[Ref],tbl_project_planner[Done%],,0,),""))</f>
        <v>0.95</v>
      </c>
      <c r="F83" t="str">
        <f>IF(E83&lt;&gt;"N/A",_xlfn.XLOOKUP(C83,tbl_project_planner[Ref],tbl_project_planner[Assigned To],,0,),"")</f>
        <v>Priya Sharma</v>
      </c>
      <c r="G83" t="str">
        <f>IF(E83&lt;&gt;"N/A",_xlfn.XLOOKUP(C83,tbl_project_planner[Ref],tbl_project_planner[Role],,0,),"")</f>
        <v>Database Developer</v>
      </c>
      <c r="H83" t="str">
        <f>IF(E83&lt;&gt;"N/A",_xlfn.XLOOKUP(Data!G83,tbl_roles[Roles],tbl_roles[Short Code],,0,),"")</f>
        <v>DBDE</v>
      </c>
      <c r="I83" t="str">
        <f t="shared" si="19"/>
        <v>Priya Sharma-DBDE</v>
      </c>
      <c r="J83">
        <f>IFERROR(_xlfn.XLOOKUP(C83,tbl_project_planner[Ref],tbl_project_planner[Actual],,0,),"")</f>
        <v>7</v>
      </c>
      <c r="K83" s="12" cm="1">
        <f t="array" ref="K83">IFERROR(_xlfn.XLOOKUP(C83,tbl_project_planner[Ref],IF(tbl_project_planner[Est]&gt;0,tbl_project_planner[Est],"-"),,0,),"")</f>
        <v>5</v>
      </c>
      <c r="L83" s="1">
        <f>IFERROR(_xlfn.XLOOKUP(C83,tbl_project_planner[Ref],tbl_project_planner[Start Date],,0,),"")</f>
        <v>45688</v>
      </c>
      <c r="M83" s="1">
        <f>IFERROR(_xlfn.XLOOKUP(C83,tbl_project_planner[Ref],tbl_project_planner[End Date],,0,),"")</f>
        <v>45698</v>
      </c>
      <c r="N83">
        <f>IFERROR(_xlfn.XLOOKUP(C83,tbl_project_planner[Ref],tbl_project_planner[Elapse],,0,),"")</f>
        <v>11</v>
      </c>
      <c r="O83">
        <f>IFERROR(_xlfn.XLOOKUP(C83,tbl_project_planner[Ref],tbl_project_planner[Holiday],,0,),"")</f>
        <v>0</v>
      </c>
      <c r="P83">
        <f>(_xlfn.XLOOKUP(tbl_AssignRole[[#This Row],[Assigned]],tbl_staff_list[Name],tbl_staff_list[Daily_Rate],0,0))</f>
        <v>25</v>
      </c>
      <c r="Q83">
        <f>IF(tbl_AssignRole[[#This Row],[Chk]]="N/A",0,tbl_AssignRole[[#This Row],[Actual]]*tbl_AssignRole[[#This Row],[Rate]])</f>
        <v>175</v>
      </c>
      <c r="R83">
        <f>IF(tbl_AssignRole[[#This Row],[Chk]]="N/A",0,tbl_AssignRole[[#This Row],[Est]]*tbl_AssignRole[[#This Row],[Rate]])</f>
        <v>125</v>
      </c>
      <c r="U83" t="str">
        <v>1.2.3</v>
      </c>
      <c r="V83" t="str">
        <v>1.2.4</v>
      </c>
    </row>
    <row r="84" spans="2:22" x14ac:dyDescent="0.25">
      <c r="B84" t="str">
        <f>IF(tbl_AssignRole[[#This Row],[Ref]]&lt;&gt;0,tbl_AssignRole[[#This Row],[Ref]],"N/A")</f>
        <v>1.2.4</v>
      </c>
      <c r="C84" s="140" t="str">
        <f>ProjectPlan!B14</f>
        <v>1.2.4</v>
      </c>
      <c r="D84" t="str">
        <f>IFERROR(_xlfn.XLOOKUP(C84,tbl_project_planner[Ref],tbl_project_planner[Project],,0,),"")</f>
        <v>Prioritise Stories and Requirements with Stakeholders</v>
      </c>
      <c r="E84" s="16">
        <f>IF(tbl_AssignRole[[#This Row],[Chk]]="N/A","N/A",IFERROR(_xlfn.XLOOKUP(tbl_AssignRole[[#This Row],[Ref]],tbl_project_planner[Ref],tbl_project_planner[Done%],,0,),""))</f>
        <v>0.95</v>
      </c>
      <c r="F84" t="str">
        <f>IF(E84&lt;&gt;"N/A",_xlfn.XLOOKUP(C84,tbl_project_planner[Ref],tbl_project_planner[Assigned To],,0,),"")</f>
        <v>Clara Bennett</v>
      </c>
      <c r="G84" t="str">
        <f>IF(E84&lt;&gt;"N/A",_xlfn.XLOOKUP(C84,tbl_project_planner[Ref],tbl_project_planner[Role],,0,),"")</f>
        <v>Product Owner</v>
      </c>
      <c r="H84" t="str">
        <f>IF(E84&lt;&gt;"N/A",_xlfn.XLOOKUP(Data!G84,tbl_roles[Roles],tbl_roles[Short Code],,0,),"")</f>
        <v>PROD</v>
      </c>
      <c r="I84" t="str">
        <f t="shared" si="19"/>
        <v>Clara Bennett-PROD</v>
      </c>
      <c r="J84">
        <f>IFERROR(_xlfn.XLOOKUP(C84,tbl_project_planner[Ref],tbl_project_planner[Actual],,0,),"")</f>
        <v>4</v>
      </c>
      <c r="K84" s="12" cm="1">
        <f t="array" ref="K84">IFERROR(_xlfn.XLOOKUP(C84,tbl_project_planner[Ref],IF(tbl_project_planner[Est]&gt;0,tbl_project_planner[Est],"-"),,0,),"")</f>
        <v>3</v>
      </c>
      <c r="L84" s="1">
        <f>IFERROR(_xlfn.XLOOKUP(C84,tbl_project_planner[Ref],tbl_project_planner[Start Date],,0,),"")</f>
        <v>45699</v>
      </c>
      <c r="M84" s="1">
        <f>IFERROR(_xlfn.XLOOKUP(C84,tbl_project_planner[Ref],tbl_project_planner[End Date],,0,),"")</f>
        <v>45702</v>
      </c>
      <c r="N84">
        <f>IFERROR(_xlfn.XLOOKUP(C84,tbl_project_planner[Ref],tbl_project_planner[Elapse],,0,),"")</f>
        <v>4</v>
      </c>
      <c r="O84">
        <f>IFERROR(_xlfn.XLOOKUP(C84,tbl_project_planner[Ref],tbl_project_planner[Holiday],,0,),"")</f>
        <v>0</v>
      </c>
      <c r="P84">
        <f>(_xlfn.XLOOKUP(tbl_AssignRole[[#This Row],[Assigned]],tbl_staff_list[Name],tbl_staff_list[Daily_Rate],0,0))</f>
        <v>32</v>
      </c>
      <c r="Q84">
        <f>IF(tbl_AssignRole[[#This Row],[Chk]]="N/A",0,tbl_AssignRole[[#This Row],[Actual]]*tbl_AssignRole[[#This Row],[Rate]])</f>
        <v>128</v>
      </c>
      <c r="R84">
        <f>IF(tbl_AssignRole[[#This Row],[Chk]]="N/A",0,tbl_AssignRole[[#This Row],[Est]]*tbl_AssignRole[[#This Row],[Rate]])</f>
        <v>96</v>
      </c>
      <c r="U84" t="str">
        <v>1.2.4</v>
      </c>
      <c r="V84" t="str">
        <v>1.2.5</v>
      </c>
    </row>
    <row r="85" spans="2:22" x14ac:dyDescent="0.25">
      <c r="B85" t="str">
        <f>IF(tbl_AssignRole[[#This Row],[Ref]]&lt;&gt;0,tbl_AssignRole[[#This Row],[Ref]],"N/A")</f>
        <v>1.2.5</v>
      </c>
      <c r="C85" s="140" t="str">
        <f>ProjectPlan!B15</f>
        <v>1.2.5</v>
      </c>
      <c r="D85" t="str">
        <f>IFERROR(_xlfn.XLOOKUP(C85,tbl_project_planner[Ref],tbl_project_planner[Project],,0,),"")</f>
        <v>Publish Documents to Internal Stakeholders and Update</v>
      </c>
      <c r="E85" s="16">
        <f>IF(tbl_AssignRole[[#This Row],[Chk]]="N/A","N/A",IFERROR(_xlfn.XLOOKUP(tbl_AssignRole[[#This Row],[Ref]],tbl_project_planner[Ref],tbl_project_planner[Done%],,0,),""))</f>
        <v>0.1</v>
      </c>
      <c r="F85" t="str">
        <f>IF(E85&lt;&gt;"N/A",_xlfn.XLOOKUP(C85,tbl_project_planner[Ref],tbl_project_planner[Assigned To],,0,),"")</f>
        <v>James Whitmore</v>
      </c>
      <c r="G85" t="str">
        <f>IF(E85&lt;&gt;"N/A",_xlfn.XLOOKUP(C85,tbl_project_planner[Ref],tbl_project_planner[Role],,0,),"")</f>
        <v>Business Analyst</v>
      </c>
      <c r="H85" t="str">
        <f>IF(E85&lt;&gt;"N/A",_xlfn.XLOOKUP(Data!G85,tbl_roles[Roles],tbl_roles[Short Code],,0,),"")</f>
        <v>BANA</v>
      </c>
      <c r="I85" t="str">
        <f t="shared" si="19"/>
        <v>James Whitmore-BANA</v>
      </c>
      <c r="J85">
        <f>IFERROR(_xlfn.XLOOKUP(C85,tbl_project_planner[Ref],tbl_project_planner[Actual],,0,),"")</f>
        <v>2</v>
      </c>
      <c r="K85" s="12" cm="1">
        <f t="array" ref="K85">IFERROR(_xlfn.XLOOKUP(C85,tbl_project_planner[Ref],IF(tbl_project_planner[Est]&gt;0,tbl_project_planner[Est],"-"),,0,),"")</f>
        <v>2</v>
      </c>
      <c r="L85" s="1">
        <f>IFERROR(_xlfn.XLOOKUP(C85,tbl_project_planner[Ref],tbl_project_planner[Start Date],,0,),"")</f>
        <v>45705</v>
      </c>
      <c r="M85" s="1">
        <f>IFERROR(_xlfn.XLOOKUP(C85,tbl_project_planner[Ref],tbl_project_planner[End Date],,0,),"")</f>
        <v>45706</v>
      </c>
      <c r="N85">
        <f>IFERROR(_xlfn.XLOOKUP(C85,tbl_project_planner[Ref],tbl_project_planner[Elapse],,0,),"")</f>
        <v>2</v>
      </c>
      <c r="O85">
        <f>IFERROR(_xlfn.XLOOKUP(C85,tbl_project_planner[Ref],tbl_project_planner[Holiday],,0,),"")</f>
        <v>0</v>
      </c>
      <c r="P85">
        <f>(_xlfn.XLOOKUP(tbl_AssignRole[[#This Row],[Assigned]],tbl_staff_list[Name],tbl_staff_list[Daily_Rate],0,0))</f>
        <v>32</v>
      </c>
      <c r="Q85">
        <f>IF(tbl_AssignRole[[#This Row],[Chk]]="N/A",0,tbl_AssignRole[[#This Row],[Actual]]*tbl_AssignRole[[#This Row],[Rate]])</f>
        <v>64</v>
      </c>
      <c r="R85">
        <f>IF(tbl_AssignRole[[#This Row],[Chk]]="N/A",0,tbl_AssignRole[[#This Row],[Est]]*tbl_AssignRole[[#This Row],[Rate]])</f>
        <v>64</v>
      </c>
      <c r="U85" t="str">
        <v>1.2.5</v>
      </c>
      <c r="V85" t="str">
        <v>1.3.1</v>
      </c>
    </row>
    <row r="86" spans="2:22" x14ac:dyDescent="0.25">
      <c r="B86" t="str">
        <f>IF(tbl_AssignRole[[#This Row],[Ref]]&lt;&gt;0,tbl_AssignRole[[#This Row],[Ref]],"N/A")</f>
        <v>1.3.1</v>
      </c>
      <c r="C86" s="140" t="str">
        <f>ProjectPlan!B18</f>
        <v>1.3.1</v>
      </c>
      <c r="D86" t="str">
        <f>IFERROR(_xlfn.XLOOKUP(C86,tbl_project_planner[Ref],tbl_project_planner[Project],,0,),"")</f>
        <v>Document and Agree Key Performance Indicators</v>
      </c>
      <c r="E86" s="16">
        <f>IF(tbl_AssignRole[[#This Row],[Chk]]="N/A","N/A",IFERROR(_xlfn.XLOOKUP(tbl_AssignRole[[#This Row],[Ref]],tbl_project_planner[Ref],tbl_project_planner[Done%],,0,),""))</f>
        <v>0.5</v>
      </c>
      <c r="F86" t="str">
        <f>IF(E86&lt;&gt;"N/A",_xlfn.XLOOKUP(C86,tbl_project_planner[Ref],tbl_project_planner[Assigned To],,0,),"")</f>
        <v>Liam Gardner</v>
      </c>
      <c r="G86" t="str">
        <f>IF(E86&lt;&gt;"N/A",_xlfn.XLOOKUP(C86,tbl_project_planner[Ref],tbl_project_planner[Role],,0,),"")</f>
        <v>Performance Lead</v>
      </c>
      <c r="H86" t="str">
        <f>IF(E86&lt;&gt;"N/A",_xlfn.XLOOKUP(Data!G86,tbl_roles[Roles],tbl_roles[Short Code],,0,),"")</f>
        <v>PERL</v>
      </c>
      <c r="I86" t="str">
        <f t="shared" si="19"/>
        <v>Liam Gardner-PERL</v>
      </c>
      <c r="J86">
        <f>IFERROR(_xlfn.XLOOKUP(C86,tbl_project_planner[Ref],tbl_project_planner[Actual],,0,),"")</f>
        <v>5</v>
      </c>
      <c r="K86" s="12" cm="1">
        <f t="array" ref="K86">IFERROR(_xlfn.XLOOKUP(C86,tbl_project_planner[Ref],IF(tbl_project_planner[Est]&gt;0,tbl_project_planner[Est],"-"),,0,),"")</f>
        <v>5</v>
      </c>
      <c r="L86" s="1">
        <f>IFERROR(_xlfn.XLOOKUP(C86,tbl_project_planner[Ref],tbl_project_planner[Start Date],,0,),"")</f>
        <v>45699</v>
      </c>
      <c r="M86" s="1">
        <f>IFERROR(_xlfn.XLOOKUP(C86,tbl_project_planner[Ref],tbl_project_planner[End Date],,0,),"")</f>
        <v>45705</v>
      </c>
      <c r="N86">
        <f>IFERROR(_xlfn.XLOOKUP(C86,tbl_project_planner[Ref],tbl_project_planner[Elapse],,0,),"")</f>
        <v>7</v>
      </c>
      <c r="O86">
        <f>IFERROR(_xlfn.XLOOKUP(C86,tbl_project_planner[Ref],tbl_project_planner[Holiday],,0,),"")</f>
        <v>0</v>
      </c>
      <c r="P86">
        <f>(_xlfn.XLOOKUP(tbl_AssignRole[[#This Row],[Assigned]],tbl_staff_list[Name],tbl_staff_list[Daily_Rate],0,0))</f>
        <v>30</v>
      </c>
      <c r="Q86">
        <f>IF(tbl_AssignRole[[#This Row],[Chk]]="N/A",0,tbl_AssignRole[[#This Row],[Actual]]*tbl_AssignRole[[#This Row],[Rate]])</f>
        <v>150</v>
      </c>
      <c r="R86">
        <f>IF(tbl_AssignRole[[#This Row],[Chk]]="N/A",0,tbl_AssignRole[[#This Row],[Est]]*tbl_AssignRole[[#This Row],[Rate]])</f>
        <v>150</v>
      </c>
      <c r="U86" t="str">
        <v>1.3.1</v>
      </c>
      <c r="V86" t="str">
        <v>1.3.2</v>
      </c>
    </row>
    <row r="87" spans="2:22" x14ac:dyDescent="0.25">
      <c r="B87" t="str">
        <f>IF(tbl_AssignRole[[#This Row],[Ref]]&lt;&gt;0,tbl_AssignRole[[#This Row],[Ref]],"N/A")</f>
        <v>1.3.2</v>
      </c>
      <c r="C87" s="140" t="str">
        <f>ProjectPlan!B19</f>
        <v>1.3.2</v>
      </c>
      <c r="D87" t="str">
        <f>IFERROR(_xlfn.XLOOKUP(C87,tbl_project_planner[Ref],tbl_project_planner[Project],,0,),"")</f>
        <v>Create Workflow Diagrams and a Product Plan</v>
      </c>
      <c r="E87" s="16">
        <f>IF(tbl_AssignRole[[#This Row],[Chk]]="N/A","N/A",IFERROR(_xlfn.XLOOKUP(tbl_AssignRole[[#This Row],[Ref]],tbl_project_planner[Ref],tbl_project_planner[Done%],,0,),""))</f>
        <v>0.2</v>
      </c>
      <c r="F87" t="str">
        <f>IF(E87&lt;&gt;"N/A",_xlfn.XLOOKUP(C87,tbl_project_planner[Ref],tbl_project_planner[Assigned To],,0,),"")</f>
        <v>Clara Bennett</v>
      </c>
      <c r="G87" t="str">
        <f>IF(E87&lt;&gt;"N/A",_xlfn.XLOOKUP(C87,tbl_project_planner[Ref],tbl_project_planner[Role],,0,),"")</f>
        <v>Product Owner</v>
      </c>
      <c r="H87" t="str">
        <f>IF(E87&lt;&gt;"N/A",_xlfn.XLOOKUP(Data!G87,tbl_roles[Roles],tbl_roles[Short Code],,0,),"")</f>
        <v>PROD</v>
      </c>
      <c r="I87" t="str">
        <f t="shared" si="19"/>
        <v>Clara Bennett-PROD</v>
      </c>
      <c r="J87">
        <f>IFERROR(_xlfn.XLOOKUP(C87,tbl_project_planner[Ref],tbl_project_planner[Actual],,0,),"")</f>
        <v>4</v>
      </c>
      <c r="K87" s="12" cm="1">
        <f t="array" ref="K87">IFERROR(_xlfn.XLOOKUP(C87,tbl_project_planner[Ref],IF(tbl_project_planner[Est]&gt;0,tbl_project_planner[Est],"-"),,0,),"")</f>
        <v>5</v>
      </c>
      <c r="L87" s="1">
        <f>IFERROR(_xlfn.XLOOKUP(C87,tbl_project_planner[Ref],tbl_project_planner[Start Date],,0,),"")</f>
        <v>45705</v>
      </c>
      <c r="M87" s="1">
        <f>IFERROR(_xlfn.XLOOKUP(C87,tbl_project_planner[Ref],tbl_project_planner[End Date],,0,),"")</f>
        <v>45708</v>
      </c>
      <c r="N87">
        <f>IFERROR(_xlfn.XLOOKUP(C87,tbl_project_planner[Ref],tbl_project_planner[Elapse],,0,),"")</f>
        <v>4</v>
      </c>
      <c r="O87">
        <f>IFERROR(_xlfn.XLOOKUP(C87,tbl_project_planner[Ref],tbl_project_planner[Holiday],,0,),"")</f>
        <v>0</v>
      </c>
      <c r="P87">
        <f>(_xlfn.XLOOKUP(tbl_AssignRole[[#This Row],[Assigned]],tbl_staff_list[Name],tbl_staff_list[Daily_Rate],0,0))</f>
        <v>32</v>
      </c>
      <c r="Q87">
        <f>IF(tbl_AssignRole[[#This Row],[Chk]]="N/A",0,tbl_AssignRole[[#This Row],[Actual]]*tbl_AssignRole[[#This Row],[Rate]])</f>
        <v>128</v>
      </c>
      <c r="R87">
        <f>IF(tbl_AssignRole[[#This Row],[Chk]]="N/A",0,tbl_AssignRole[[#This Row],[Est]]*tbl_AssignRole[[#This Row],[Rate]])</f>
        <v>160</v>
      </c>
      <c r="U87" t="str">
        <v>1.3.2</v>
      </c>
      <c r="V87" t="str">
        <v>1.3.3</v>
      </c>
    </row>
    <row r="88" spans="2:22" x14ac:dyDescent="0.25">
      <c r="B88" t="str">
        <f>IF(tbl_AssignRole[[#This Row],[Ref]]&lt;&gt;0,tbl_AssignRole[[#This Row],[Ref]],"N/A")</f>
        <v>1.3.3</v>
      </c>
      <c r="C88" s="140" t="str">
        <f>ProjectPlan!B20</f>
        <v>1.3.3</v>
      </c>
      <c r="D88" t="str">
        <f>IFERROR(_xlfn.XLOOKUP(C88,tbl_project_planner[Ref],tbl_project_planner[Project],,0,),"")</f>
        <v>Develop High-Level Technical Specifications</v>
      </c>
      <c r="E88" s="16">
        <f>IF(tbl_AssignRole[[#This Row],[Chk]]="N/A","N/A",IFERROR(_xlfn.XLOOKUP(tbl_AssignRole[[#This Row],[Ref]],tbl_project_planner[Ref],tbl_project_planner[Done%],,0,),""))</f>
        <v>0.2</v>
      </c>
      <c r="F88" t="str">
        <f>IF(E88&lt;&gt;"N/A",_xlfn.XLOOKUP(C88,tbl_project_planner[Ref],tbl_project_planner[Assigned To],,0,),"")</f>
        <v>Evelyn Hart</v>
      </c>
      <c r="G88" t="str">
        <f>IF(E88&lt;&gt;"N/A",_xlfn.XLOOKUP(C88,tbl_project_planner[Ref],tbl_project_planner[Role],,0,),"")</f>
        <v>Architect</v>
      </c>
      <c r="H88" t="str">
        <f>IF(E88&lt;&gt;"N/A",_xlfn.XLOOKUP(Data!G88,tbl_roles[Roles],tbl_roles[Short Code],,0,),"")</f>
        <v>ARCH</v>
      </c>
      <c r="I88" t="str">
        <f t="shared" si="19"/>
        <v>Evelyn Hart-ARCH</v>
      </c>
      <c r="J88">
        <f>IFERROR(_xlfn.XLOOKUP(C88,tbl_project_planner[Ref],tbl_project_planner[Actual],,0,),"")</f>
        <v>7</v>
      </c>
      <c r="K88" s="12" cm="1">
        <f t="array" ref="K88">IFERROR(_xlfn.XLOOKUP(C88,tbl_project_planner[Ref],IF(tbl_project_planner[Est]&gt;0,tbl_project_planner[Est],"-"),,0,),"")</f>
        <v>5</v>
      </c>
      <c r="L88" s="1">
        <f>IFERROR(_xlfn.XLOOKUP(C88,tbl_project_planner[Ref],tbl_project_planner[Start Date],,0,),"")</f>
        <v>45707</v>
      </c>
      <c r="M88" s="1">
        <f>IFERROR(_xlfn.XLOOKUP(C88,tbl_project_planner[Ref],tbl_project_planner[End Date],,0,),"")</f>
        <v>45715</v>
      </c>
      <c r="N88">
        <f>IFERROR(_xlfn.XLOOKUP(C88,tbl_project_planner[Ref],tbl_project_planner[Elapse],,0,),"")</f>
        <v>9</v>
      </c>
      <c r="O88">
        <f>IFERROR(_xlfn.XLOOKUP(C88,tbl_project_planner[Ref],tbl_project_planner[Holiday],,0,),"")</f>
        <v>0</v>
      </c>
      <c r="P88">
        <f>(_xlfn.XLOOKUP(tbl_AssignRole[[#This Row],[Assigned]],tbl_staff_list[Name],tbl_staff_list[Daily_Rate],0,0))</f>
        <v>30</v>
      </c>
      <c r="Q88">
        <f>IF(tbl_AssignRole[[#This Row],[Chk]]="N/A",0,tbl_AssignRole[[#This Row],[Actual]]*tbl_AssignRole[[#This Row],[Rate]])</f>
        <v>210</v>
      </c>
      <c r="R88">
        <f>IF(tbl_AssignRole[[#This Row],[Chk]]="N/A",0,tbl_AssignRole[[#This Row],[Est]]*tbl_AssignRole[[#This Row],[Rate]])</f>
        <v>150</v>
      </c>
      <c r="U88" t="str">
        <v>1.3.3</v>
      </c>
      <c r="V88" t="str">
        <v>1.3.4</v>
      </c>
    </row>
    <row r="89" spans="2:22" x14ac:dyDescent="0.25">
      <c r="B89" t="str">
        <f>IF(tbl_AssignRole[[#This Row],[Ref]]&lt;&gt;0,tbl_AssignRole[[#This Row],[Ref]],"N/A")</f>
        <v>1.3.4</v>
      </c>
      <c r="C89" s="140" t="str">
        <f>ProjectPlan!B21</f>
        <v>1.3.4</v>
      </c>
      <c r="D89" t="str">
        <f>IFERROR(_xlfn.XLOOKUP(C89,tbl_project_planner[Ref],tbl_project_planner[Project],,0,),"")</f>
        <v>Review and Agree Designs with Lead Stakeholders</v>
      </c>
      <c r="E89" s="16">
        <f>IF(tbl_AssignRole[[#This Row],[Chk]]="N/A","N/A",IFERROR(_xlfn.XLOOKUP(tbl_AssignRole[[#This Row],[Ref]],tbl_project_planner[Ref],tbl_project_planner[Done%],,0,),""))</f>
        <v>0.2</v>
      </c>
      <c r="F89" t="str">
        <f>IF(E89&lt;&gt;"N/A",_xlfn.XLOOKUP(C89,tbl_project_planner[Ref],tbl_project_planner[Assigned To],,0,),"")</f>
        <v>Clara Bennett</v>
      </c>
      <c r="G89" t="str">
        <f>IF(E89&lt;&gt;"N/A",_xlfn.XLOOKUP(C89,tbl_project_planner[Ref],tbl_project_planner[Role],,0,),"")</f>
        <v>Product Owner</v>
      </c>
      <c r="H89" t="str">
        <f>IF(E89&lt;&gt;"N/A",_xlfn.XLOOKUP(Data!G89,tbl_roles[Roles],tbl_roles[Short Code],,0,),"")</f>
        <v>PROD</v>
      </c>
      <c r="I89" t="str">
        <f t="shared" si="19"/>
        <v>Clara Bennett-PROD</v>
      </c>
      <c r="J89">
        <f>IFERROR(_xlfn.XLOOKUP(C89,tbl_project_planner[Ref],tbl_project_planner[Actual],,0,),"")</f>
        <v>5</v>
      </c>
      <c r="K89" s="12" cm="1">
        <f t="array" ref="K89">IFERROR(_xlfn.XLOOKUP(C89,tbl_project_planner[Ref],IF(tbl_project_planner[Est]&gt;0,tbl_project_planner[Est],"-"),,0,),"")</f>
        <v>5</v>
      </c>
      <c r="L89" s="1">
        <f>IFERROR(_xlfn.XLOOKUP(C89,tbl_project_planner[Ref],tbl_project_planner[Start Date],,0,),"")</f>
        <v>45716</v>
      </c>
      <c r="M89" s="1">
        <f>IFERROR(_xlfn.XLOOKUP(C89,tbl_project_planner[Ref],tbl_project_planner[End Date],,0,),"")</f>
        <v>45722</v>
      </c>
      <c r="N89">
        <f>IFERROR(_xlfn.XLOOKUP(C89,tbl_project_planner[Ref],tbl_project_planner[Elapse],,0,),"")</f>
        <v>7</v>
      </c>
      <c r="O89">
        <f>IFERROR(_xlfn.XLOOKUP(C89,tbl_project_planner[Ref],tbl_project_planner[Holiday],,0,),"")</f>
        <v>0</v>
      </c>
      <c r="P89">
        <f>(_xlfn.XLOOKUP(tbl_AssignRole[[#This Row],[Assigned]],tbl_staff_list[Name],tbl_staff_list[Daily_Rate],0,0))</f>
        <v>32</v>
      </c>
      <c r="Q89">
        <f>IF(tbl_AssignRole[[#This Row],[Chk]]="N/A",0,tbl_AssignRole[[#This Row],[Actual]]*tbl_AssignRole[[#This Row],[Rate]])</f>
        <v>160</v>
      </c>
      <c r="R89">
        <f>IF(tbl_AssignRole[[#This Row],[Chk]]="N/A",0,tbl_AssignRole[[#This Row],[Est]]*tbl_AssignRole[[#This Row],[Rate]])</f>
        <v>160</v>
      </c>
      <c r="U89" t="str">
        <v>1.3.4</v>
      </c>
      <c r="V89" t="str">
        <v>1.3.5</v>
      </c>
    </row>
    <row r="90" spans="2:22" x14ac:dyDescent="0.25">
      <c r="B90" t="str">
        <f>IF(tbl_AssignRole[[#This Row],[Ref]]&lt;&gt;0,tbl_AssignRole[[#This Row],[Ref]],"N/A")</f>
        <v>1.3.5</v>
      </c>
      <c r="C90" s="140" t="str">
        <f>ProjectPlan!B22</f>
        <v>1.3.5</v>
      </c>
      <c r="D90" t="str">
        <f>IFERROR(_xlfn.XLOOKUP(C90,tbl_project_planner[Ref],tbl_project_planner[Project],,0,),"")</f>
        <v>Start GUI and Server Component Development, and API Implementation</v>
      </c>
      <c r="E90" s="16">
        <f>IF(tbl_AssignRole[[#This Row],[Chk]]="N/A","N/A",IFERROR(_xlfn.XLOOKUP(tbl_AssignRole[[#This Row],[Ref]],tbl_project_planner[Ref],tbl_project_planner[Done%],,0,),""))</f>
        <v>0.1</v>
      </c>
      <c r="F90" t="str">
        <f>IF(E90&lt;&gt;"N/A",_xlfn.XLOOKUP(C90,tbl_project_planner[Ref],tbl_project_planner[Assigned To],,0,),"")</f>
        <v>Evelyn Hart</v>
      </c>
      <c r="G90" t="str">
        <f>IF(E90&lt;&gt;"N/A",_xlfn.XLOOKUP(C90,tbl_project_planner[Ref],tbl_project_planner[Role],,0,),"")</f>
        <v>Architect</v>
      </c>
      <c r="H90" t="str">
        <f>IF(E90&lt;&gt;"N/A",_xlfn.XLOOKUP(Data!G90,tbl_roles[Roles],tbl_roles[Short Code],,0,),"")</f>
        <v>ARCH</v>
      </c>
      <c r="I90" t="str">
        <f t="shared" si="19"/>
        <v>Evelyn Hart-ARCH</v>
      </c>
      <c r="J90">
        <f>IFERROR(_xlfn.XLOOKUP(C90,tbl_project_planner[Ref],tbl_project_planner[Actual],,0,),"")</f>
        <v>1</v>
      </c>
      <c r="K90" s="12" cm="1">
        <f t="array" ref="K90">IFERROR(_xlfn.XLOOKUP(C90,tbl_project_planner[Ref],IF(tbl_project_planner[Est]&gt;0,tbl_project_planner[Est],"-"),,0,),"")</f>
        <v>1</v>
      </c>
      <c r="L90" s="1">
        <f>IFERROR(_xlfn.XLOOKUP(C90,tbl_project_planner[Ref],tbl_project_planner[Start Date],,0,),"")</f>
        <v>45723</v>
      </c>
      <c r="M90" s="1">
        <f>IFERROR(_xlfn.XLOOKUP(C90,tbl_project_planner[Ref],tbl_project_planner[End Date],,0,),"")</f>
        <v>45723</v>
      </c>
      <c r="N90">
        <f>IFERROR(_xlfn.XLOOKUP(C90,tbl_project_planner[Ref],tbl_project_planner[Elapse],,0,),"")</f>
        <v>1</v>
      </c>
      <c r="O90">
        <f>IFERROR(_xlfn.XLOOKUP(C90,tbl_project_planner[Ref],tbl_project_planner[Holiday],,0,),"")</f>
        <v>0</v>
      </c>
      <c r="P90">
        <f>(_xlfn.XLOOKUP(tbl_AssignRole[[#This Row],[Assigned]],tbl_staff_list[Name],tbl_staff_list[Daily_Rate],0,0))</f>
        <v>30</v>
      </c>
      <c r="Q90">
        <f>IF(tbl_AssignRole[[#This Row],[Chk]]="N/A",0,tbl_AssignRole[[#This Row],[Actual]]*tbl_AssignRole[[#This Row],[Rate]])</f>
        <v>30</v>
      </c>
      <c r="R90">
        <f>IF(tbl_AssignRole[[#This Row],[Chk]]="N/A",0,tbl_AssignRole[[#This Row],[Est]]*tbl_AssignRole[[#This Row],[Rate]])</f>
        <v>30</v>
      </c>
      <c r="U90" t="str">
        <v>1.3.5</v>
      </c>
      <c r="V90" t="str">
        <v>2.1.1</v>
      </c>
    </row>
    <row r="91" spans="2:22" x14ac:dyDescent="0.25">
      <c r="B91" t="str">
        <f>IF(tbl_AssignRole[[#This Row],[Ref]]&lt;&gt;0,tbl_AssignRole[[#This Row],[Ref]],"N/A")</f>
        <v>2.1.1</v>
      </c>
      <c r="C91" s="140" t="str">
        <f>ProjectPlan!B25</f>
        <v>2.1.1</v>
      </c>
      <c r="D91" t="str">
        <f>IFERROR(_xlfn.XLOOKUP(C91,tbl_project_planner[Ref],tbl_project_planner[Project],,0,),"")</f>
        <v>Create Wireframes and Mockups. Identify Default Values Required for Trading.</v>
      </c>
      <c r="E91" s="16">
        <f>IF(tbl_AssignRole[[#This Row],[Chk]]="N/A","N/A",IFERROR(_xlfn.XLOOKUP(tbl_AssignRole[[#This Row],[Ref]],tbl_project_planner[Ref],tbl_project_planner[Done%],,0,),""))</f>
        <v>0.1</v>
      </c>
      <c r="F91" t="str">
        <f>IF(E91&lt;&gt;"N/A",_xlfn.XLOOKUP(C91,tbl_project_planner[Ref],tbl_project_planner[Assigned To],,0,),"")</f>
        <v>Chloe Martin</v>
      </c>
      <c r="G91" t="str">
        <f>IF(E91&lt;&gt;"N/A",_xlfn.XLOOKUP(C91,tbl_project_planner[Ref],tbl_project_planner[Role],,0,),"")</f>
        <v>UX Designer</v>
      </c>
      <c r="H91" t="str">
        <f>IF(E91&lt;&gt;"N/A",_xlfn.XLOOKUP(Data!G91,tbl_roles[Roles],tbl_roles[Short Code],,0,),"")</f>
        <v>UXDE</v>
      </c>
      <c r="I91" t="str">
        <f t="shared" si="19"/>
        <v>Chloe Martin-UXDE</v>
      </c>
      <c r="J91">
        <f>IFERROR(_xlfn.XLOOKUP(C91,tbl_project_planner[Ref],tbl_project_planner[Actual],,0,),"")</f>
        <v>10</v>
      </c>
      <c r="K91" s="12" cm="1">
        <f t="array" ref="K91">IFERROR(_xlfn.XLOOKUP(C91,tbl_project_planner[Ref],IF(tbl_project_planner[Est]&gt;0,tbl_project_planner[Est],"-"),,0,),"")</f>
        <v>10</v>
      </c>
      <c r="L91" s="1">
        <f>IFERROR(_xlfn.XLOOKUP(C91,tbl_project_planner[Ref],tbl_project_planner[Start Date],,0,),"")</f>
        <v>45726</v>
      </c>
      <c r="M91" s="1">
        <f>IFERROR(_xlfn.XLOOKUP(C91,tbl_project_planner[Ref],tbl_project_planner[End Date],,0,),"")</f>
        <v>45737</v>
      </c>
      <c r="N91">
        <f>IFERROR(_xlfn.XLOOKUP(C91,tbl_project_planner[Ref],tbl_project_planner[Elapse],,0,),"")</f>
        <v>12</v>
      </c>
      <c r="O91">
        <f>IFERROR(_xlfn.XLOOKUP(C91,tbl_project_planner[Ref],tbl_project_planner[Holiday],,0,),"")</f>
        <v>0</v>
      </c>
      <c r="P91">
        <f>(_xlfn.XLOOKUP(tbl_AssignRole[[#This Row],[Assigned]],tbl_staff_list[Name],tbl_staff_list[Daily_Rate],0,0))</f>
        <v>22.6</v>
      </c>
      <c r="Q91">
        <f>IF(tbl_AssignRole[[#This Row],[Chk]]="N/A",0,tbl_AssignRole[[#This Row],[Actual]]*tbl_AssignRole[[#This Row],[Rate]])</f>
        <v>226</v>
      </c>
      <c r="R91">
        <f>IF(tbl_AssignRole[[#This Row],[Chk]]="N/A",0,tbl_AssignRole[[#This Row],[Est]]*tbl_AssignRole[[#This Row],[Rate]])</f>
        <v>226</v>
      </c>
      <c r="U91" t="str">
        <v>2.1.1</v>
      </c>
      <c r="V91" t="str">
        <v>2.1.2</v>
      </c>
    </row>
    <row r="92" spans="2:22" x14ac:dyDescent="0.25">
      <c r="B92" t="str">
        <f>IF(tbl_AssignRole[[#This Row],[Ref]]&lt;&gt;0,tbl_AssignRole[[#This Row],[Ref]],"N/A")</f>
        <v>2.1.2</v>
      </c>
      <c r="C92" s="140" t="str">
        <f>ProjectPlan!B26</f>
        <v>2.1.2</v>
      </c>
      <c r="D92" t="str">
        <f>IFERROR(_xlfn.XLOOKUP(C92,tbl_project_planner[Ref],tbl_project_planner[Project],,0,),"")</f>
        <v>Identify User Data Flow for Optimal User Experience</v>
      </c>
      <c r="E92" s="16">
        <f>IF(tbl_AssignRole[[#This Row],[Chk]]="N/A","N/A",IFERROR(_xlfn.XLOOKUP(tbl_AssignRole[[#This Row],[Ref]],tbl_project_planner[Ref],tbl_project_planner[Done%],,0,),""))</f>
        <v>0</v>
      </c>
      <c r="F92" t="str">
        <f>IF(E92&lt;&gt;"N/A",_xlfn.XLOOKUP(C92,tbl_project_planner[Ref],tbl_project_planner[Assigned To],,0,),"")</f>
        <v>James Whitmore</v>
      </c>
      <c r="G92" t="str">
        <f>IF(E92&lt;&gt;"N/A",_xlfn.XLOOKUP(C92,tbl_project_planner[Ref],tbl_project_planner[Role],,0,),"")</f>
        <v>Business Analyst</v>
      </c>
      <c r="H92" t="str">
        <f>IF(E92&lt;&gt;"N/A",_xlfn.XLOOKUP(Data!G92,tbl_roles[Roles],tbl_roles[Short Code],,0,),"")</f>
        <v>BANA</v>
      </c>
      <c r="I92" t="str">
        <f t="shared" si="19"/>
        <v>James Whitmore-BANA</v>
      </c>
      <c r="J92">
        <f>IFERROR(_xlfn.XLOOKUP(C92,tbl_project_planner[Ref],tbl_project_planner[Actual],,0,),"")</f>
        <v>10</v>
      </c>
      <c r="K92" s="12" cm="1">
        <f t="array" ref="K92">IFERROR(_xlfn.XLOOKUP(C92,tbl_project_planner[Ref],IF(tbl_project_planner[Est]&gt;0,tbl_project_planner[Est],"-"),,0,),"")</f>
        <v>10</v>
      </c>
      <c r="L92" s="1">
        <f>IFERROR(_xlfn.XLOOKUP(C92,tbl_project_planner[Ref],tbl_project_planner[Start Date],,0,),"")</f>
        <v>45726</v>
      </c>
      <c r="M92" s="1">
        <f>IFERROR(_xlfn.XLOOKUP(C92,tbl_project_planner[Ref],tbl_project_planner[End Date],,0,),"")</f>
        <v>45737</v>
      </c>
      <c r="N92">
        <f>IFERROR(_xlfn.XLOOKUP(C92,tbl_project_planner[Ref],tbl_project_planner[Elapse],,0,),"")</f>
        <v>12</v>
      </c>
      <c r="O92">
        <f>IFERROR(_xlfn.XLOOKUP(C92,tbl_project_planner[Ref],tbl_project_planner[Holiday],,0,),"")</f>
        <v>0</v>
      </c>
      <c r="P92">
        <f>(_xlfn.XLOOKUP(tbl_AssignRole[[#This Row],[Assigned]],tbl_staff_list[Name],tbl_staff_list[Daily_Rate],0,0))</f>
        <v>32</v>
      </c>
      <c r="Q92">
        <f>IF(tbl_AssignRole[[#This Row],[Chk]]="N/A",0,tbl_AssignRole[[#This Row],[Actual]]*tbl_AssignRole[[#This Row],[Rate]])</f>
        <v>320</v>
      </c>
      <c r="R92">
        <f>IF(tbl_AssignRole[[#This Row],[Chk]]="N/A",0,tbl_AssignRole[[#This Row],[Est]]*tbl_AssignRole[[#This Row],[Rate]])</f>
        <v>320</v>
      </c>
      <c r="U92" t="str">
        <v>2.1.2</v>
      </c>
      <c r="V92" t="str">
        <v>2.1.3</v>
      </c>
    </row>
    <row r="93" spans="2:22" x14ac:dyDescent="0.25">
      <c r="B93" t="str">
        <f>IF(tbl_AssignRole[[#This Row],[Ref]]&lt;&gt;0,tbl_AssignRole[[#This Row],[Ref]],"N/A")</f>
        <v>2.1.3</v>
      </c>
      <c r="C93" s="140" t="str">
        <f>ProjectPlan!B27</f>
        <v>2.1.3</v>
      </c>
      <c r="D93" t="str">
        <f>IFERROR(_xlfn.XLOOKUP(C93,tbl_project_planner[Ref],tbl_project_planner[Project],,0,),"")</f>
        <v>Develop a Test Plan: Usability, Configuration, etc.</v>
      </c>
      <c r="E93" s="16">
        <f>IF(tbl_AssignRole[[#This Row],[Chk]]="N/A","N/A",IFERROR(_xlfn.XLOOKUP(tbl_AssignRole[[#This Row],[Ref]],tbl_project_planner[Ref],tbl_project_planner[Done%],,0,),""))</f>
        <v>0</v>
      </c>
      <c r="F93" t="str">
        <f>IF(E93&lt;&gt;"N/A",_xlfn.XLOOKUP(C93,tbl_project_planner[Ref],tbl_project_planner[Assigned To],,0,),"")</f>
        <v>Ryan Carter</v>
      </c>
      <c r="G93" t="str">
        <f>IF(E93&lt;&gt;"N/A",_xlfn.XLOOKUP(C93,tbl_project_planner[Ref],tbl_project_planner[Role],,0,),"")</f>
        <v>Tester</v>
      </c>
      <c r="H93" t="str">
        <f>IF(E93&lt;&gt;"N/A",_xlfn.XLOOKUP(Data!G93,tbl_roles[Roles],tbl_roles[Short Code],,0,),"")</f>
        <v>TEST</v>
      </c>
      <c r="I93" t="str">
        <f t="shared" si="19"/>
        <v>Ryan Carter-TEST</v>
      </c>
      <c r="J93">
        <f>IFERROR(_xlfn.XLOOKUP(C93,tbl_project_planner[Ref],tbl_project_planner[Actual],,0,),"")</f>
        <v>10</v>
      </c>
      <c r="K93" s="12" cm="1">
        <f t="array" ref="K93">IFERROR(_xlfn.XLOOKUP(C93,tbl_project_planner[Ref],IF(tbl_project_planner[Est]&gt;0,tbl_project_planner[Est],"-"),,0,),"")</f>
        <v>10</v>
      </c>
      <c r="L93" s="1">
        <f>IFERROR(_xlfn.XLOOKUP(C93,tbl_project_planner[Ref],tbl_project_planner[Start Date],,0,),"")</f>
        <v>45726</v>
      </c>
      <c r="M93" s="1">
        <f>IFERROR(_xlfn.XLOOKUP(C93,tbl_project_planner[Ref],tbl_project_planner[End Date],,0,),"")</f>
        <v>45737</v>
      </c>
      <c r="N93">
        <f>IFERROR(_xlfn.XLOOKUP(C93,tbl_project_planner[Ref],tbl_project_planner[Elapse],,0,),"")</f>
        <v>12</v>
      </c>
      <c r="O93">
        <f>IFERROR(_xlfn.XLOOKUP(C93,tbl_project_planner[Ref],tbl_project_planner[Holiday],,0,),"")</f>
        <v>0</v>
      </c>
      <c r="P93">
        <f>(_xlfn.XLOOKUP(tbl_AssignRole[[#This Row],[Assigned]],tbl_staff_list[Name],tbl_staff_list[Daily_Rate],0,0))</f>
        <v>20</v>
      </c>
      <c r="Q93">
        <f>IF(tbl_AssignRole[[#This Row],[Chk]]="N/A",0,tbl_AssignRole[[#This Row],[Actual]]*tbl_AssignRole[[#This Row],[Rate]])</f>
        <v>200</v>
      </c>
      <c r="R93">
        <f>IF(tbl_AssignRole[[#This Row],[Chk]]="N/A",0,tbl_AssignRole[[#This Row],[Est]]*tbl_AssignRole[[#This Row],[Rate]])</f>
        <v>200</v>
      </c>
      <c r="U93" t="str">
        <v>2.1.3</v>
      </c>
      <c r="V93" t="str">
        <v>2.1.4</v>
      </c>
    </row>
    <row r="94" spans="2:22" x14ac:dyDescent="0.25">
      <c r="B94" t="str">
        <f>IF(tbl_AssignRole[[#This Row],[Ref]]&lt;&gt;0,tbl_AssignRole[[#This Row],[Ref]],"N/A")</f>
        <v>2.1.4</v>
      </c>
      <c r="C94" s="140" t="str">
        <f>ProjectPlan!B28</f>
        <v>2.1.4</v>
      </c>
      <c r="D94" t="str">
        <f>IFERROR(_xlfn.XLOOKUP(C94,tbl_project_planner[Ref],tbl_project_planner[Project],,0,),"")</f>
        <v>Create a Roadmap and Agree on the Plan</v>
      </c>
      <c r="E94" s="16">
        <f>IF(tbl_AssignRole[[#This Row],[Chk]]="N/A","N/A",IFERROR(_xlfn.XLOOKUP(tbl_AssignRole[[#This Row],[Ref]],tbl_project_planner[Ref],tbl_project_planner[Done%],,0,),""))</f>
        <v>0</v>
      </c>
      <c r="F94" t="str">
        <f>IF(E94&lt;&gt;"N/A",_xlfn.XLOOKUP(C94,tbl_project_planner[Ref],tbl_project_planner[Assigned To],,0,),"")</f>
        <v>Clara Bennett</v>
      </c>
      <c r="G94" t="str">
        <f>IF(E94&lt;&gt;"N/A",_xlfn.XLOOKUP(C94,tbl_project_planner[Ref],tbl_project_planner[Role],,0,),"")</f>
        <v>Product Owner</v>
      </c>
      <c r="H94" t="str">
        <f>IF(E94&lt;&gt;"N/A",_xlfn.XLOOKUP(Data!G94,tbl_roles[Roles],tbl_roles[Short Code],,0,),"")</f>
        <v>PROD</v>
      </c>
      <c r="I94" t="str">
        <f t="shared" si="19"/>
        <v>Clara Bennett-PROD</v>
      </c>
      <c r="J94">
        <f>IFERROR(_xlfn.XLOOKUP(C94,tbl_project_planner[Ref],tbl_project_planner[Actual],,0,),"")</f>
        <v>10</v>
      </c>
      <c r="K94" s="12" cm="1">
        <f t="array" ref="K94">IFERROR(_xlfn.XLOOKUP(C94,tbl_project_planner[Ref],IF(tbl_project_planner[Est]&gt;0,tbl_project_planner[Est],"-"),,0,),"")</f>
        <v>10</v>
      </c>
      <c r="L94" s="1">
        <f>IFERROR(_xlfn.XLOOKUP(C94,tbl_project_planner[Ref],tbl_project_planner[Start Date],,0,),"")</f>
        <v>45726</v>
      </c>
      <c r="M94" s="1">
        <f>IFERROR(_xlfn.XLOOKUP(C94,tbl_project_planner[Ref],tbl_project_planner[End Date],,0,),"")</f>
        <v>45737</v>
      </c>
      <c r="N94">
        <f>IFERROR(_xlfn.XLOOKUP(C94,tbl_project_planner[Ref],tbl_project_planner[Elapse],,0,),"")</f>
        <v>12</v>
      </c>
      <c r="O94">
        <f>IFERROR(_xlfn.XLOOKUP(C94,tbl_project_planner[Ref],tbl_project_planner[Holiday],,0,),"")</f>
        <v>0</v>
      </c>
      <c r="P94">
        <f>(_xlfn.XLOOKUP(tbl_AssignRole[[#This Row],[Assigned]],tbl_staff_list[Name],tbl_staff_list[Daily_Rate],0,0))</f>
        <v>32</v>
      </c>
      <c r="Q94">
        <f>IF(tbl_AssignRole[[#This Row],[Chk]]="N/A",0,tbl_AssignRole[[#This Row],[Actual]]*tbl_AssignRole[[#This Row],[Rate]])</f>
        <v>320</v>
      </c>
      <c r="R94">
        <f>IF(tbl_AssignRole[[#This Row],[Chk]]="N/A",0,tbl_AssignRole[[#This Row],[Est]]*tbl_AssignRole[[#This Row],[Rate]])</f>
        <v>320</v>
      </c>
      <c r="U94" t="str">
        <v>2.1.4</v>
      </c>
      <c r="V94" t="str">
        <v>2.1.5</v>
      </c>
    </row>
    <row r="95" spans="2:22" x14ac:dyDescent="0.25">
      <c r="B95" t="str">
        <f>IF(tbl_AssignRole[[#This Row],[Ref]]&lt;&gt;0,tbl_AssignRole[[#This Row],[Ref]],"N/A")</f>
        <v>2.1.5</v>
      </c>
      <c r="C95" s="140" t="str">
        <f>ProjectPlan!B29</f>
        <v>2.1.5</v>
      </c>
      <c r="D95" t="str">
        <f>IFERROR(_xlfn.XLOOKUP(C95,tbl_project_planner[Ref],tbl_project_planner[Project],,0,),"")</f>
        <v>IT Systems and Support - Access</v>
      </c>
      <c r="E95" s="16">
        <f>IF(tbl_AssignRole[[#This Row],[Chk]]="N/A","N/A",IFERROR(_xlfn.XLOOKUP(tbl_AssignRole[[#This Row],[Ref]],tbl_project_planner[Ref],tbl_project_planner[Done%],,0,),""))</f>
        <v>0</v>
      </c>
      <c r="F95" t="str">
        <f>IF(E95&lt;&gt;"N/A",_xlfn.XLOOKUP(C95,tbl_project_planner[Ref],tbl_project_planner[Assigned To],,0,),"")</f>
        <v>Teddy Smith</v>
      </c>
      <c r="G95" t="str">
        <f>IF(E95&lt;&gt;"N/A",_xlfn.XLOOKUP(C95,tbl_project_planner[Ref],tbl_project_planner[Role],,0,),"")</f>
        <v>IT Support/Helpdesk</v>
      </c>
      <c r="H95" t="str">
        <f>IF(E95&lt;&gt;"N/A",_xlfn.XLOOKUP(Data!G95,tbl_roles[Roles],tbl_roles[Short Code],,0,),"")</f>
        <v>ITS</v>
      </c>
      <c r="I95" t="str">
        <f t="shared" si="19"/>
        <v>Teddy Smith-ITS</v>
      </c>
      <c r="J95">
        <f>IFERROR(_xlfn.XLOOKUP(C95,tbl_project_planner[Ref],tbl_project_planner[Actual],,0,),"")</f>
        <v>5</v>
      </c>
      <c r="K95" s="12" cm="1">
        <f t="array" ref="K95">IFERROR(_xlfn.XLOOKUP(C95,tbl_project_planner[Ref],IF(tbl_project_planner[Est]&gt;0,tbl_project_planner[Est],"-"),,0,),"")</f>
        <v>5</v>
      </c>
      <c r="L95" s="1">
        <f>IFERROR(_xlfn.XLOOKUP(C95,tbl_project_planner[Ref],tbl_project_planner[Start Date],,0,),"")</f>
        <v>45726</v>
      </c>
      <c r="M95" s="1">
        <f>IFERROR(_xlfn.XLOOKUP(C95,tbl_project_planner[Ref],tbl_project_planner[End Date],,0,),"")</f>
        <v>45730</v>
      </c>
      <c r="N95">
        <f>IFERROR(_xlfn.XLOOKUP(C95,tbl_project_planner[Ref],tbl_project_planner[Elapse],,0,),"")</f>
        <v>5</v>
      </c>
      <c r="O95">
        <f>IFERROR(_xlfn.XLOOKUP(C95,tbl_project_planner[Ref],tbl_project_planner[Holiday],,0,),"")</f>
        <v>0</v>
      </c>
      <c r="P95">
        <f>(_xlfn.XLOOKUP(tbl_AssignRole[[#This Row],[Assigned]],tbl_staff_list[Name],tbl_staff_list[Daily_Rate],0,0))</f>
        <v>15</v>
      </c>
      <c r="Q95">
        <f>IF(tbl_AssignRole[[#This Row],[Chk]]="N/A",0,tbl_AssignRole[[#This Row],[Actual]]*tbl_AssignRole[[#This Row],[Rate]])</f>
        <v>75</v>
      </c>
      <c r="R95">
        <f>IF(tbl_AssignRole[[#This Row],[Chk]]="N/A",0,tbl_AssignRole[[#This Row],[Est]]*tbl_AssignRole[[#This Row],[Rate]])</f>
        <v>75</v>
      </c>
      <c r="U95" t="str">
        <v>2.1.5</v>
      </c>
      <c r="V95" t="str">
        <v>2.2.1</v>
      </c>
    </row>
    <row r="96" spans="2:22" x14ac:dyDescent="0.25">
      <c r="B96" t="str">
        <f>IF(tbl_AssignRole[[#This Row],[Ref]]&lt;&gt;0,tbl_AssignRole[[#This Row],[Ref]],"N/A")</f>
        <v>2.2.1</v>
      </c>
      <c r="C96" s="140" t="str">
        <f>ProjectPlan!B32</f>
        <v>2.2.1</v>
      </c>
      <c r="D96" t="str">
        <f>IFERROR(_xlfn.XLOOKUP(C96,tbl_project_planner[Ref],tbl_project_planner[Project],,0,),"")</f>
        <v>Design and Set Up the Database</v>
      </c>
      <c r="E96" s="16">
        <f>IF(tbl_AssignRole[[#This Row],[Chk]]="N/A","N/A",IFERROR(_xlfn.XLOOKUP(tbl_AssignRole[[#This Row],[Ref]],tbl_project_planner[Ref],tbl_project_planner[Done%],,0,),""))</f>
        <v>0</v>
      </c>
      <c r="F96" t="str">
        <f>IF(E96&lt;&gt;"N/A",_xlfn.XLOOKUP(C96,tbl_project_planner[Ref],tbl_project_planner[Assigned To],,0,),"")</f>
        <v>Priya Sharma</v>
      </c>
      <c r="G96" t="str">
        <f>IF(E96&lt;&gt;"N/A",_xlfn.XLOOKUP(C96,tbl_project_planner[Ref],tbl_project_planner[Role],,0,),"")</f>
        <v>Database Developer</v>
      </c>
      <c r="H96" t="str">
        <f>IF(E96&lt;&gt;"N/A",_xlfn.XLOOKUP(Data!G96,tbl_roles[Roles],tbl_roles[Short Code],,0,),"")</f>
        <v>DBDE</v>
      </c>
      <c r="I96" t="str">
        <f t="shared" si="19"/>
        <v>Priya Sharma-DBDE</v>
      </c>
      <c r="J96">
        <f>IFERROR(_xlfn.XLOOKUP(C96,tbl_project_planner[Ref],tbl_project_planner[Actual],,0,),"")</f>
        <v>10</v>
      </c>
      <c r="K96" s="12" cm="1">
        <f t="array" ref="K96">IFERROR(_xlfn.XLOOKUP(C96,tbl_project_planner[Ref],IF(tbl_project_planner[Est]&gt;0,tbl_project_planner[Est],"-"),,0,),"")</f>
        <v>10</v>
      </c>
      <c r="L96" s="1">
        <f>IFERROR(_xlfn.XLOOKUP(C96,tbl_project_planner[Ref],tbl_project_planner[Start Date],,0,),"")</f>
        <v>45740</v>
      </c>
      <c r="M96" s="1">
        <f>IFERROR(_xlfn.XLOOKUP(C96,tbl_project_planner[Ref],tbl_project_planner[End Date],,0,),"")</f>
        <v>45751</v>
      </c>
      <c r="N96">
        <f>IFERROR(_xlfn.XLOOKUP(C96,tbl_project_planner[Ref],tbl_project_planner[Elapse],,0,),"")</f>
        <v>12</v>
      </c>
      <c r="O96">
        <f>IFERROR(_xlfn.XLOOKUP(C96,tbl_project_planner[Ref],tbl_project_planner[Holiday],,0,),"")</f>
        <v>0</v>
      </c>
      <c r="P96">
        <f>(_xlfn.XLOOKUP(tbl_AssignRole[[#This Row],[Assigned]],tbl_staff_list[Name],tbl_staff_list[Daily_Rate],0,0))</f>
        <v>25</v>
      </c>
      <c r="Q96">
        <f>IF(tbl_AssignRole[[#This Row],[Chk]]="N/A",0,tbl_AssignRole[[#This Row],[Actual]]*tbl_AssignRole[[#This Row],[Rate]])</f>
        <v>250</v>
      </c>
      <c r="R96">
        <f>IF(tbl_AssignRole[[#This Row],[Chk]]="N/A",0,tbl_AssignRole[[#This Row],[Est]]*tbl_AssignRole[[#This Row],[Rate]])</f>
        <v>250</v>
      </c>
      <c r="U96" t="str">
        <v>2.2.1</v>
      </c>
      <c r="V96" t="str">
        <v>2.2.2</v>
      </c>
    </row>
    <row r="97" spans="2:22" x14ac:dyDescent="0.25">
      <c r="B97" t="str">
        <f>IF(tbl_AssignRole[[#This Row],[Ref]]&lt;&gt;0,tbl_AssignRole[[#This Row],[Ref]],"N/A")</f>
        <v>2.2.2</v>
      </c>
      <c r="C97" s="140" t="str">
        <f>ProjectPlan!B33</f>
        <v>2.2.2</v>
      </c>
      <c r="D97" t="str">
        <f>IFERROR(_xlfn.XLOOKUP(C97,tbl_project_planner[Ref],tbl_project_planner[Project],,0,),"")</f>
        <v>Develop Endpoints for the API</v>
      </c>
      <c r="E97" s="16">
        <f>IF(tbl_AssignRole[[#This Row],[Chk]]="N/A","N/A",IFERROR(_xlfn.XLOOKUP(tbl_AssignRole[[#This Row],[Ref]],tbl_project_planner[Ref],tbl_project_planner[Done%],,0,),""))</f>
        <v>0</v>
      </c>
      <c r="F97" t="str">
        <f>IF(E97&lt;&gt;"N/A",_xlfn.XLOOKUP(C97,tbl_project_planner[Ref],tbl_project_planner[Assigned To],,0,),"")</f>
        <v>Max Patel</v>
      </c>
      <c r="G97" t="str">
        <f>IF(E97&lt;&gt;"N/A",_xlfn.XLOOKUP(C97,tbl_project_planner[Ref],tbl_project_planner[Role],,0,),"")</f>
        <v>Server Developer</v>
      </c>
      <c r="H97" t="str">
        <f>IF(E97&lt;&gt;"N/A",_xlfn.XLOOKUP(Data!G97,tbl_roles[Roles],tbl_roles[Short Code],,0,),"")</f>
        <v>SERD</v>
      </c>
      <c r="I97" t="str">
        <f t="shared" si="19"/>
        <v>Max Patel-SERD</v>
      </c>
      <c r="J97">
        <f>IFERROR(_xlfn.XLOOKUP(C97,tbl_project_planner[Ref],tbl_project_planner[Actual],,0,),"")</f>
        <v>10</v>
      </c>
      <c r="K97" s="12" cm="1">
        <f t="array" ref="K97">IFERROR(_xlfn.XLOOKUP(C97,tbl_project_planner[Ref],IF(tbl_project_planner[Est]&gt;0,tbl_project_planner[Est],"-"),,0,),"")</f>
        <v>10</v>
      </c>
      <c r="L97" s="1">
        <f>IFERROR(_xlfn.XLOOKUP(C97,tbl_project_planner[Ref],tbl_project_planner[Start Date],,0,),"")</f>
        <v>45740</v>
      </c>
      <c r="M97" s="1">
        <f>IFERROR(_xlfn.XLOOKUP(C97,tbl_project_planner[Ref],tbl_project_planner[End Date],,0,),"")</f>
        <v>45751</v>
      </c>
      <c r="N97">
        <f>IFERROR(_xlfn.XLOOKUP(C97,tbl_project_planner[Ref],tbl_project_planner[Elapse],,0,),"")</f>
        <v>12</v>
      </c>
      <c r="O97">
        <f>IFERROR(_xlfn.XLOOKUP(C97,tbl_project_planner[Ref],tbl_project_planner[Holiday],,0,),"")</f>
        <v>0</v>
      </c>
      <c r="P97">
        <f>(_xlfn.XLOOKUP(tbl_AssignRole[[#This Row],[Assigned]],tbl_staff_list[Name],tbl_staff_list[Daily_Rate],0,0))</f>
        <v>30</v>
      </c>
      <c r="Q97">
        <f>IF(tbl_AssignRole[[#This Row],[Chk]]="N/A",0,tbl_AssignRole[[#This Row],[Actual]]*tbl_AssignRole[[#This Row],[Rate]])</f>
        <v>300</v>
      </c>
      <c r="R97">
        <f>IF(tbl_AssignRole[[#This Row],[Chk]]="N/A",0,tbl_AssignRole[[#This Row],[Est]]*tbl_AssignRole[[#This Row],[Rate]])</f>
        <v>300</v>
      </c>
      <c r="U97" t="str">
        <v>2.2.2</v>
      </c>
      <c r="V97" t="str">
        <v>2.2.3</v>
      </c>
    </row>
    <row r="98" spans="2:22" x14ac:dyDescent="0.25">
      <c r="B98" t="str">
        <f>IF(tbl_AssignRole[[#This Row],[Ref]]&lt;&gt;0,tbl_AssignRole[[#This Row],[Ref]],"N/A")</f>
        <v>2.2.3</v>
      </c>
      <c r="C98" s="140" t="str">
        <f>ProjectPlan!B34</f>
        <v>2.2.3</v>
      </c>
      <c r="D98" t="str">
        <f>IFERROR(_xlfn.XLOOKUP(C98,tbl_project_planner[Ref],tbl_project_planner[Project],,0,),"")</f>
        <v>Develop Core Business Logic Services for the App</v>
      </c>
      <c r="E98" s="16">
        <f>IF(tbl_AssignRole[[#This Row],[Chk]]="N/A","N/A",IFERROR(_xlfn.XLOOKUP(tbl_AssignRole[[#This Row],[Ref]],tbl_project_planner[Ref],tbl_project_planner[Done%],,0,),""))</f>
        <v>0</v>
      </c>
      <c r="F98" t="str">
        <f>IF(E98&lt;&gt;"N/A",_xlfn.XLOOKUP(C98,tbl_project_planner[Ref],tbl_project_planner[Assigned To],,0,),"")</f>
        <v>Adam Kowalski</v>
      </c>
      <c r="G98" t="str">
        <f>IF(E98&lt;&gt;"N/A",_xlfn.XLOOKUP(C98,tbl_project_planner[Ref],tbl_project_planner[Role],,0,),"")</f>
        <v>Server Developer</v>
      </c>
      <c r="H98" t="str">
        <f>IF(E98&lt;&gt;"N/A",_xlfn.XLOOKUP(Data!G98,tbl_roles[Roles],tbl_roles[Short Code],,0,),"")</f>
        <v>SERD</v>
      </c>
      <c r="I98" t="str">
        <f t="shared" si="19"/>
        <v>Adam Kowalski-SERD</v>
      </c>
      <c r="J98">
        <f>IFERROR(_xlfn.XLOOKUP(C98,tbl_project_planner[Ref],tbl_project_planner[Actual],,0,),"")</f>
        <v>10</v>
      </c>
      <c r="K98" s="12" cm="1">
        <f t="array" ref="K98">IFERROR(_xlfn.XLOOKUP(C98,tbl_project_planner[Ref],IF(tbl_project_planner[Est]&gt;0,tbl_project_planner[Est],"-"),,0,),"")</f>
        <v>10</v>
      </c>
      <c r="L98" s="1">
        <f>IFERROR(_xlfn.XLOOKUP(C98,tbl_project_planner[Ref],tbl_project_planner[Start Date],,0,),"")</f>
        <v>45740</v>
      </c>
      <c r="M98" s="1">
        <f>IFERROR(_xlfn.XLOOKUP(C98,tbl_project_planner[Ref],tbl_project_planner[End Date],,0,),"")</f>
        <v>45751</v>
      </c>
      <c r="N98">
        <f>IFERROR(_xlfn.XLOOKUP(C98,tbl_project_planner[Ref],tbl_project_planner[Elapse],,0,),"")</f>
        <v>12</v>
      </c>
      <c r="O98">
        <f>IFERROR(_xlfn.XLOOKUP(C98,tbl_project_planner[Ref],tbl_project_planner[Holiday],,0,),"")</f>
        <v>0</v>
      </c>
      <c r="P98">
        <f>(_xlfn.XLOOKUP(tbl_AssignRole[[#This Row],[Assigned]],tbl_staff_list[Name],tbl_staff_list[Daily_Rate],0,0))</f>
        <v>27</v>
      </c>
      <c r="Q98">
        <f>IF(tbl_AssignRole[[#This Row],[Chk]]="N/A",0,tbl_AssignRole[[#This Row],[Actual]]*tbl_AssignRole[[#This Row],[Rate]])</f>
        <v>270</v>
      </c>
      <c r="R98">
        <f>IF(tbl_AssignRole[[#This Row],[Chk]]="N/A",0,tbl_AssignRole[[#This Row],[Est]]*tbl_AssignRole[[#This Row],[Rate]])</f>
        <v>270</v>
      </c>
      <c r="U98" t="str">
        <v>2.2.3</v>
      </c>
      <c r="V98" t="str">
        <v>2.2.4</v>
      </c>
    </row>
    <row r="99" spans="2:22" x14ac:dyDescent="0.25">
      <c r="B99" t="str">
        <f>IF(tbl_AssignRole[[#This Row],[Ref]]&lt;&gt;0,tbl_AssignRole[[#This Row],[Ref]],"N/A")</f>
        <v>2.2.4</v>
      </c>
      <c r="C99" s="140" t="str">
        <f>ProjectPlan!B35</f>
        <v>2.2.4</v>
      </c>
      <c r="D99" t="str">
        <f>IFERROR(_xlfn.XLOOKUP(C99,tbl_project_planner[Ref],tbl_project_planner[Project],,0,),"")</f>
        <v>Integrate with Market Data (Internal, External, etc.)</v>
      </c>
      <c r="E99" s="16">
        <f>IF(tbl_AssignRole[[#This Row],[Chk]]="N/A","N/A",IFERROR(_xlfn.XLOOKUP(tbl_AssignRole[[#This Row],[Ref]],tbl_project_planner[Ref],tbl_project_planner[Done%],,0,),""))</f>
        <v>0</v>
      </c>
      <c r="F99" t="str">
        <f>IF(E99&lt;&gt;"N/A",_xlfn.XLOOKUP(C99,tbl_project_planner[Ref],tbl_project_planner[Assigned To],,0,),"")</f>
        <v>Evelyn Hart</v>
      </c>
      <c r="G99" t="str">
        <f>IF(E99&lt;&gt;"N/A",_xlfn.XLOOKUP(C99,tbl_project_planner[Ref],tbl_project_planner[Role],,0,),"")</f>
        <v>Architect</v>
      </c>
      <c r="H99" t="str">
        <f>IF(E99&lt;&gt;"N/A",_xlfn.XLOOKUP(Data!G99,tbl_roles[Roles],tbl_roles[Short Code],,0,),"")</f>
        <v>ARCH</v>
      </c>
      <c r="I99" t="str">
        <f t="shared" si="19"/>
        <v>Evelyn Hart-ARCH</v>
      </c>
      <c r="J99">
        <f>IFERROR(_xlfn.XLOOKUP(C99,tbl_project_planner[Ref],tbl_project_planner[Actual],,0,),"")</f>
        <v>10</v>
      </c>
      <c r="K99" s="12" cm="1">
        <f t="array" ref="K99">IFERROR(_xlfn.XLOOKUP(C99,tbl_project_planner[Ref],IF(tbl_project_planner[Est]&gt;0,tbl_project_planner[Est],"-"),,0,),"")</f>
        <v>10</v>
      </c>
      <c r="L99" s="1">
        <f>IFERROR(_xlfn.XLOOKUP(C99,tbl_project_planner[Ref],tbl_project_planner[Start Date],,0,),"")</f>
        <v>45740</v>
      </c>
      <c r="M99" s="1">
        <f>IFERROR(_xlfn.XLOOKUP(C99,tbl_project_planner[Ref],tbl_project_planner[End Date],,0,),"")</f>
        <v>45751</v>
      </c>
      <c r="N99">
        <f>IFERROR(_xlfn.XLOOKUP(C99,tbl_project_planner[Ref],tbl_project_planner[Elapse],,0,),"")</f>
        <v>12</v>
      </c>
      <c r="O99">
        <f>IFERROR(_xlfn.XLOOKUP(C99,tbl_project_planner[Ref],tbl_project_planner[Holiday],,0,),"")</f>
        <v>0</v>
      </c>
      <c r="P99">
        <f>(_xlfn.XLOOKUP(tbl_AssignRole[[#This Row],[Assigned]],tbl_staff_list[Name],tbl_staff_list[Daily_Rate],0,0))</f>
        <v>30</v>
      </c>
      <c r="Q99">
        <f>IF(tbl_AssignRole[[#This Row],[Chk]]="N/A",0,tbl_AssignRole[[#This Row],[Actual]]*tbl_AssignRole[[#This Row],[Rate]])</f>
        <v>300</v>
      </c>
      <c r="R99">
        <f>IF(tbl_AssignRole[[#This Row],[Chk]]="N/A",0,tbl_AssignRole[[#This Row],[Est]]*tbl_AssignRole[[#This Row],[Rate]])</f>
        <v>300</v>
      </c>
      <c r="U99" t="str">
        <v>2.2.4</v>
      </c>
      <c r="V99" t="str">
        <v>2.2.5</v>
      </c>
    </row>
    <row r="100" spans="2:22" x14ac:dyDescent="0.25">
      <c r="B100" t="str">
        <f>IF(tbl_AssignRole[[#This Row],[Ref]]&lt;&gt;0,tbl_AssignRole[[#This Row],[Ref]],"N/A")</f>
        <v>2.2.5</v>
      </c>
      <c r="C100" s="140" t="str">
        <f>ProjectPlan!B36</f>
        <v>2.2.5</v>
      </c>
      <c r="D100" t="str">
        <f>IFERROR(_xlfn.XLOOKUP(C100,tbl_project_planner[Ref],tbl_project_planner[Project],,0,),"")</f>
        <v>Document server dataflows and publish</v>
      </c>
      <c r="E100" s="16">
        <f>IF(tbl_AssignRole[[#This Row],[Chk]]="N/A","N/A",IFERROR(_xlfn.XLOOKUP(tbl_AssignRole[[#This Row],[Ref]],tbl_project_planner[Ref],tbl_project_planner[Done%],,0,),""))</f>
        <v>0</v>
      </c>
      <c r="F100" t="str">
        <f>IF(E100&lt;&gt;"N/A",_xlfn.XLOOKUP(C100,tbl_project_planner[Ref],tbl_project_planner[Assigned To],,0,),"")</f>
        <v>Clara Bennett</v>
      </c>
      <c r="G100" t="str">
        <f>IF(E100&lt;&gt;"N/A",_xlfn.XLOOKUP(C100,tbl_project_planner[Ref],tbl_project_planner[Role],,0,),"")</f>
        <v>Product Owner</v>
      </c>
      <c r="H100" t="str">
        <f>IF(E100&lt;&gt;"N/A",_xlfn.XLOOKUP(Data!G100,tbl_roles[Roles],tbl_roles[Short Code],,0,),"")</f>
        <v>PROD</v>
      </c>
      <c r="I100" t="str">
        <f t="shared" si="19"/>
        <v>Clara Bennett-PROD</v>
      </c>
      <c r="J100">
        <f>IFERROR(_xlfn.XLOOKUP(C100,tbl_project_planner[Ref],tbl_project_planner[Actual],,0,),"")</f>
        <v>10</v>
      </c>
      <c r="K100" s="12" cm="1">
        <f t="array" ref="K100">IFERROR(_xlfn.XLOOKUP(C100,tbl_project_planner[Ref],IF(tbl_project_planner[Est]&gt;0,tbl_project_planner[Est],"-"),,0,),"")</f>
        <v>10</v>
      </c>
      <c r="L100" s="1">
        <f>IFERROR(_xlfn.XLOOKUP(C100,tbl_project_planner[Ref],tbl_project_planner[Start Date],,0,),"")</f>
        <v>45740</v>
      </c>
      <c r="M100" s="1">
        <f>IFERROR(_xlfn.XLOOKUP(C100,tbl_project_planner[Ref],tbl_project_planner[End Date],,0,),"")</f>
        <v>45751</v>
      </c>
      <c r="N100">
        <f>IFERROR(_xlfn.XLOOKUP(C100,tbl_project_planner[Ref],tbl_project_planner[Elapse],,0,),"")</f>
        <v>12</v>
      </c>
      <c r="O100">
        <f>IFERROR(_xlfn.XLOOKUP(C100,tbl_project_planner[Ref],tbl_project_planner[Holiday],,0,),"")</f>
        <v>0</v>
      </c>
      <c r="P100">
        <f>(_xlfn.XLOOKUP(tbl_AssignRole[[#This Row],[Assigned]],tbl_staff_list[Name],tbl_staff_list[Daily_Rate],0,0))</f>
        <v>32</v>
      </c>
      <c r="Q100">
        <f>IF(tbl_AssignRole[[#This Row],[Chk]]="N/A",0,tbl_AssignRole[[#This Row],[Actual]]*tbl_AssignRole[[#This Row],[Rate]])</f>
        <v>320</v>
      </c>
      <c r="R100">
        <f>IF(tbl_AssignRole[[#This Row],[Chk]]="N/A",0,tbl_AssignRole[[#This Row],[Est]]*tbl_AssignRole[[#This Row],[Rate]])</f>
        <v>320</v>
      </c>
      <c r="U100" t="str">
        <v>2.2.5</v>
      </c>
      <c r="V100" t="str">
        <v>2.3.1</v>
      </c>
    </row>
    <row r="101" spans="2:22" x14ac:dyDescent="0.25">
      <c r="B101" t="str">
        <f>IF(tbl_AssignRole[[#This Row],[Ref]]&lt;&gt;0,tbl_AssignRole[[#This Row],[Ref]],"N/A")</f>
        <v>2.3.1</v>
      </c>
      <c r="C101" s="140" t="str">
        <f>ProjectPlan!B39</f>
        <v>2.3.1</v>
      </c>
      <c r="D101" t="str">
        <f>IFERROR(_xlfn.XLOOKUP(C101,tbl_project_planner[Ref],tbl_project_planner[Project],,0,),"")</f>
        <v>Plan and Document Tests for the Backend Server</v>
      </c>
      <c r="E101" s="16">
        <f>IF(tbl_AssignRole[[#This Row],[Chk]]="N/A","N/A",IFERROR(_xlfn.XLOOKUP(tbl_AssignRole[[#This Row],[Ref]],tbl_project_planner[Ref],tbl_project_planner[Done%],,0,),""))</f>
        <v>0</v>
      </c>
      <c r="F101" t="str">
        <f>IF(E101&lt;&gt;"N/A",_xlfn.XLOOKUP(C101,tbl_project_planner[Ref],tbl_project_planner[Assigned To],,0,),"")</f>
        <v>Adam Kowalski</v>
      </c>
      <c r="G101" t="str">
        <f>IF(E101&lt;&gt;"N/A",_xlfn.XLOOKUP(C101,tbl_project_planner[Ref],tbl_project_planner[Role],,0,),"")</f>
        <v>Server Developer</v>
      </c>
      <c r="H101" t="str">
        <f>IF(E101&lt;&gt;"N/A",_xlfn.XLOOKUP(Data!G101,tbl_roles[Roles],tbl_roles[Short Code],,0,),"")</f>
        <v>SERD</v>
      </c>
      <c r="I101" t="str">
        <f t="shared" si="19"/>
        <v>Adam Kowalski-SERD</v>
      </c>
      <c r="J101">
        <f>IFERROR(_xlfn.XLOOKUP(C101,tbl_project_planner[Ref],tbl_project_planner[Actual],,0,),"")</f>
        <v>5</v>
      </c>
      <c r="K101" s="12" cm="1">
        <f t="array" ref="K101">IFERROR(_xlfn.XLOOKUP(C101,tbl_project_planner[Ref],IF(tbl_project_planner[Est]&gt;0,tbl_project_planner[Est],"-"),,0,),"")</f>
        <v>5</v>
      </c>
      <c r="L101" s="1">
        <f>IFERROR(_xlfn.XLOOKUP(C101,tbl_project_planner[Ref],tbl_project_planner[Start Date],,0,),"")</f>
        <v>45754</v>
      </c>
      <c r="M101" s="1">
        <f>IFERROR(_xlfn.XLOOKUP(C101,tbl_project_planner[Ref],tbl_project_planner[End Date],,0,),"")</f>
        <v>45758</v>
      </c>
      <c r="N101">
        <f>IFERROR(_xlfn.XLOOKUP(C101,tbl_project_planner[Ref],tbl_project_planner[Elapse],,0,),"")</f>
        <v>5</v>
      </c>
      <c r="O101">
        <f>IFERROR(_xlfn.XLOOKUP(C101,tbl_project_planner[Ref],tbl_project_planner[Holiday],,0,),"")</f>
        <v>0</v>
      </c>
      <c r="P101">
        <f>(_xlfn.XLOOKUP(tbl_AssignRole[[#This Row],[Assigned]],tbl_staff_list[Name],tbl_staff_list[Daily_Rate],0,0))</f>
        <v>27</v>
      </c>
      <c r="Q101">
        <f>IF(tbl_AssignRole[[#This Row],[Chk]]="N/A",0,tbl_AssignRole[[#This Row],[Actual]]*tbl_AssignRole[[#This Row],[Rate]])</f>
        <v>135</v>
      </c>
      <c r="R101">
        <f>IF(tbl_AssignRole[[#This Row],[Chk]]="N/A",0,tbl_AssignRole[[#This Row],[Est]]*tbl_AssignRole[[#This Row],[Rate]])</f>
        <v>135</v>
      </c>
      <c r="U101" t="str">
        <v>2.3.1</v>
      </c>
      <c r="V101" t="str">
        <v>2.3.2</v>
      </c>
    </row>
    <row r="102" spans="2:22" x14ac:dyDescent="0.25">
      <c r="B102" t="str">
        <f>IF(tbl_AssignRole[[#This Row],[Ref]]&lt;&gt;0,tbl_AssignRole[[#This Row],[Ref]],"N/A")</f>
        <v>2.3.2</v>
      </c>
      <c r="C102" s="140" t="str">
        <f>ProjectPlan!B40</f>
        <v>2.3.2</v>
      </c>
      <c r="D102" t="str">
        <f>IFERROR(_xlfn.XLOOKUP(C102,tbl_project_planner[Ref],tbl_project_planner[Project],,0,),"")</f>
        <v>Document Unit Tests for Electronic Messaging</v>
      </c>
      <c r="E102" s="16">
        <f>IF(tbl_AssignRole[[#This Row],[Chk]]="N/A","N/A",IFERROR(_xlfn.XLOOKUP(tbl_AssignRole[[#This Row],[Ref]],tbl_project_planner[Ref],tbl_project_planner[Done%],,0,),""))</f>
        <v>0</v>
      </c>
      <c r="F102" t="str">
        <f>IF(E102&lt;&gt;"N/A",_xlfn.XLOOKUP(C102,tbl_project_planner[Ref],tbl_project_planner[Assigned To],,0,),"")</f>
        <v>Hannah Fletcher</v>
      </c>
      <c r="G102" t="str">
        <f>IF(E102&lt;&gt;"N/A",_xlfn.XLOOKUP(C102,tbl_project_planner[Ref],tbl_project_planner[Role],,0,),"")</f>
        <v>Technical Lead</v>
      </c>
      <c r="H102" t="str">
        <f>IF(E102&lt;&gt;"N/A",_xlfn.XLOOKUP(Data!G102,tbl_roles[Roles],tbl_roles[Short Code],,0,),"")</f>
        <v>TECL</v>
      </c>
      <c r="I102" t="str">
        <f t="shared" si="19"/>
        <v>Hannah Fletcher-TECL</v>
      </c>
      <c r="J102">
        <f>IFERROR(_xlfn.XLOOKUP(C102,tbl_project_planner[Ref],tbl_project_planner[Actual],,0,),"")</f>
        <v>5</v>
      </c>
      <c r="K102" s="12" cm="1">
        <f t="array" ref="K102">IFERROR(_xlfn.XLOOKUP(C102,tbl_project_planner[Ref],IF(tbl_project_planner[Est]&gt;0,tbl_project_planner[Est],"-"),,0,),"")</f>
        <v>5</v>
      </c>
      <c r="L102" s="1">
        <f>IFERROR(_xlfn.XLOOKUP(C102,tbl_project_planner[Ref],tbl_project_planner[Start Date],,0,),"")</f>
        <v>45754</v>
      </c>
      <c r="M102" s="1">
        <f>IFERROR(_xlfn.XLOOKUP(C102,tbl_project_planner[Ref],tbl_project_planner[End Date],,0,),"")</f>
        <v>45758</v>
      </c>
      <c r="N102">
        <f>IFERROR(_xlfn.XLOOKUP(C102,tbl_project_planner[Ref],tbl_project_planner[Elapse],,0,),"")</f>
        <v>5</v>
      </c>
      <c r="O102">
        <f>IFERROR(_xlfn.XLOOKUP(C102,tbl_project_planner[Ref],tbl_project_planner[Holiday],,0,),"")</f>
        <v>0</v>
      </c>
      <c r="P102">
        <f>(_xlfn.XLOOKUP(tbl_AssignRole[[#This Row],[Assigned]],tbl_staff_list[Name],tbl_staff_list[Daily_Rate],0,0))</f>
        <v>10</v>
      </c>
      <c r="Q102">
        <f>IF(tbl_AssignRole[[#This Row],[Chk]]="N/A",0,tbl_AssignRole[[#This Row],[Actual]]*tbl_AssignRole[[#This Row],[Rate]])</f>
        <v>50</v>
      </c>
      <c r="R102">
        <f>IF(tbl_AssignRole[[#This Row],[Chk]]="N/A",0,tbl_AssignRole[[#This Row],[Est]]*tbl_AssignRole[[#This Row],[Rate]])</f>
        <v>50</v>
      </c>
      <c r="U102" t="str">
        <v>2.3.2</v>
      </c>
      <c r="V102" t="str">
        <v>2.3.3</v>
      </c>
    </row>
    <row r="103" spans="2:22" x14ac:dyDescent="0.25">
      <c r="B103" t="str">
        <f>IF(tbl_AssignRole[[#This Row],[Ref]]&lt;&gt;0,tbl_AssignRole[[#This Row],[Ref]],"N/A")</f>
        <v>2.3.3</v>
      </c>
      <c r="C103" s="140" t="str">
        <f>ProjectPlan!B41</f>
        <v>2.3.3</v>
      </c>
      <c r="D103" t="str">
        <f>IFERROR(_xlfn.XLOOKUP(C103,tbl_project_planner[Ref],tbl_project_planner[Project],,0,),"")</f>
        <v>Document Unit Tests for the Frontend</v>
      </c>
      <c r="E103" s="16">
        <f>IF(tbl_AssignRole[[#This Row],[Chk]]="N/A","N/A",IFERROR(_xlfn.XLOOKUP(tbl_AssignRole[[#This Row],[Ref]],tbl_project_planner[Ref],tbl_project_planner[Done%],,0,),""))</f>
        <v>0</v>
      </c>
      <c r="F103" t="str">
        <f>IF(E103&lt;&gt;"N/A",_xlfn.XLOOKUP(C103,tbl_project_planner[Ref],tbl_project_planner[Assigned To],,0,),"")</f>
        <v>Evelyn Hart</v>
      </c>
      <c r="G103" t="str">
        <f>IF(E103&lt;&gt;"N/A",_xlfn.XLOOKUP(C103,tbl_project_planner[Ref],tbl_project_planner[Role],,0,),"")</f>
        <v>Architect</v>
      </c>
      <c r="H103" t="str">
        <f>IF(E103&lt;&gt;"N/A",_xlfn.XLOOKUP(Data!G103,tbl_roles[Roles],tbl_roles[Short Code],,0,),"")</f>
        <v>ARCH</v>
      </c>
      <c r="I103" t="str">
        <f t="shared" si="19"/>
        <v>Evelyn Hart-ARCH</v>
      </c>
      <c r="J103">
        <f>IFERROR(_xlfn.XLOOKUP(C103,tbl_project_planner[Ref],tbl_project_planner[Actual],,0,),"")</f>
        <v>5</v>
      </c>
      <c r="K103" s="12" cm="1">
        <f t="array" ref="K103">IFERROR(_xlfn.XLOOKUP(C103,tbl_project_planner[Ref],IF(tbl_project_planner[Est]&gt;0,tbl_project_planner[Est],"-"),,0,),"")</f>
        <v>5</v>
      </c>
      <c r="L103" s="1">
        <f>IFERROR(_xlfn.XLOOKUP(C103,tbl_project_planner[Ref],tbl_project_planner[Start Date],,0,),"")</f>
        <v>45754</v>
      </c>
      <c r="M103" s="1">
        <f>IFERROR(_xlfn.XLOOKUP(C103,tbl_project_planner[Ref],tbl_project_planner[End Date],,0,),"")</f>
        <v>45758</v>
      </c>
      <c r="N103">
        <f>IFERROR(_xlfn.XLOOKUP(C103,tbl_project_planner[Ref],tbl_project_planner[Elapse],,0,),"")</f>
        <v>5</v>
      </c>
      <c r="O103">
        <f>IFERROR(_xlfn.XLOOKUP(C103,tbl_project_planner[Ref],tbl_project_planner[Holiday],,0,),"")</f>
        <v>0</v>
      </c>
      <c r="P103">
        <f>(_xlfn.XLOOKUP(tbl_AssignRole[[#This Row],[Assigned]],tbl_staff_list[Name],tbl_staff_list[Daily_Rate],0,0))</f>
        <v>30</v>
      </c>
      <c r="Q103">
        <f>IF(tbl_AssignRole[[#This Row],[Chk]]="N/A",0,tbl_AssignRole[[#This Row],[Actual]]*tbl_AssignRole[[#This Row],[Rate]])</f>
        <v>150</v>
      </c>
      <c r="R103">
        <f>IF(tbl_AssignRole[[#This Row],[Chk]]="N/A",0,tbl_AssignRole[[#This Row],[Est]]*tbl_AssignRole[[#This Row],[Rate]])</f>
        <v>150</v>
      </c>
      <c r="U103" t="str">
        <v>2.3.3</v>
      </c>
      <c r="V103" t="str">
        <v>2.3.4</v>
      </c>
    </row>
    <row r="104" spans="2:22" x14ac:dyDescent="0.25">
      <c r="B104" t="str">
        <f>IF(tbl_AssignRole[[#This Row],[Ref]]&lt;&gt;0,tbl_AssignRole[[#This Row],[Ref]],"N/A")</f>
        <v>2.3.4</v>
      </c>
      <c r="C104" s="140" t="str">
        <f>ProjectPlan!B42</f>
        <v>2.3.4</v>
      </c>
      <c r="D104" t="str">
        <f>IFERROR(_xlfn.XLOOKUP(C104,tbl_project_planner[Ref],tbl_project_planner[Project],,0,),"")</f>
        <v>Document Tests for All Data Requirements</v>
      </c>
      <c r="E104" s="16">
        <f>IF(tbl_AssignRole[[#This Row],[Chk]]="N/A","N/A",IFERROR(_xlfn.XLOOKUP(tbl_AssignRole[[#This Row],[Ref]],tbl_project_planner[Ref],tbl_project_planner[Done%],,0,),""))</f>
        <v>0</v>
      </c>
      <c r="F104" t="str">
        <f>IF(E104&lt;&gt;"N/A",_xlfn.XLOOKUP(C104,tbl_project_planner[Ref],tbl_project_planner[Assigned To],,0,),"")</f>
        <v>Priya Sharma</v>
      </c>
      <c r="G104" t="str">
        <f>IF(E104&lt;&gt;"N/A",_xlfn.XLOOKUP(C104,tbl_project_planner[Ref],tbl_project_planner[Role],,0,),"")</f>
        <v>Database Developer</v>
      </c>
      <c r="H104" t="str">
        <f>IF(E104&lt;&gt;"N/A",_xlfn.XLOOKUP(Data!G104,tbl_roles[Roles],tbl_roles[Short Code],,0,),"")</f>
        <v>DBDE</v>
      </c>
      <c r="I104" t="str">
        <f t="shared" si="19"/>
        <v>Priya Sharma-DBDE</v>
      </c>
      <c r="J104">
        <f>IFERROR(_xlfn.XLOOKUP(C104,tbl_project_planner[Ref],tbl_project_planner[Actual],,0,),"")</f>
        <v>5</v>
      </c>
      <c r="K104" s="12" cm="1">
        <f t="array" ref="K104">IFERROR(_xlfn.XLOOKUP(C104,tbl_project_planner[Ref],IF(tbl_project_planner[Est]&gt;0,tbl_project_planner[Est],"-"),,0,),"")</f>
        <v>5</v>
      </c>
      <c r="L104" s="1">
        <f>IFERROR(_xlfn.XLOOKUP(C104,tbl_project_planner[Ref],tbl_project_planner[Start Date],,0,),"")</f>
        <v>45754</v>
      </c>
      <c r="M104" s="1">
        <f>IFERROR(_xlfn.XLOOKUP(C104,tbl_project_planner[Ref],tbl_project_planner[End Date],,0,),"")</f>
        <v>45758</v>
      </c>
      <c r="N104">
        <f>IFERROR(_xlfn.XLOOKUP(C104,tbl_project_planner[Ref],tbl_project_planner[Elapse],,0,),"")</f>
        <v>5</v>
      </c>
      <c r="O104">
        <f>IFERROR(_xlfn.XLOOKUP(C104,tbl_project_planner[Ref],tbl_project_planner[Holiday],,0,),"")</f>
        <v>0</v>
      </c>
      <c r="P104">
        <f>(_xlfn.XLOOKUP(tbl_AssignRole[[#This Row],[Assigned]],tbl_staff_list[Name],tbl_staff_list[Daily_Rate],0,0))</f>
        <v>25</v>
      </c>
      <c r="Q104">
        <f>IF(tbl_AssignRole[[#This Row],[Chk]]="N/A",0,tbl_AssignRole[[#This Row],[Actual]]*tbl_AssignRole[[#This Row],[Rate]])</f>
        <v>125</v>
      </c>
      <c r="R104">
        <f>IF(tbl_AssignRole[[#This Row],[Chk]]="N/A",0,tbl_AssignRole[[#This Row],[Est]]*tbl_AssignRole[[#This Row],[Rate]])</f>
        <v>125</v>
      </c>
      <c r="U104" t="str">
        <v>2.3.4</v>
      </c>
      <c r="V104" t="str">
        <v>2.3.5</v>
      </c>
    </row>
    <row r="105" spans="2:22" x14ac:dyDescent="0.25">
      <c r="B105" t="str">
        <f>IF(tbl_AssignRole[[#This Row],[Ref]]&lt;&gt;0,tbl_AssignRole[[#This Row],[Ref]],"N/A")</f>
        <v>2.3.5</v>
      </c>
      <c r="C105" s="140" t="str">
        <f>ProjectPlan!B43</f>
        <v>2.3.5</v>
      </c>
      <c r="D105" t="str">
        <f>IFERROR(_xlfn.XLOOKUP(C105,tbl_project_planner[Ref],tbl_project_planner[Project],,0,),"")</f>
        <v>Document Performance and Usability Metrics</v>
      </c>
      <c r="E105" s="16">
        <f>IF(tbl_AssignRole[[#This Row],[Chk]]="N/A","N/A",IFERROR(_xlfn.XLOOKUP(tbl_AssignRole[[#This Row],[Ref]],tbl_project_planner[Ref],tbl_project_planner[Done%],,0,),""))</f>
        <v>0</v>
      </c>
      <c r="F105" t="str">
        <f>IF(E105&lt;&gt;"N/A",_xlfn.XLOOKUP(C105,tbl_project_planner[Ref],tbl_project_planner[Assigned To],,0,),"")</f>
        <v>Liam Gardner</v>
      </c>
      <c r="G105" t="str">
        <f>IF(E105&lt;&gt;"N/A",_xlfn.XLOOKUP(C105,tbl_project_planner[Ref],tbl_project_planner[Role],,0,),"")</f>
        <v>Performance Lead</v>
      </c>
      <c r="H105" t="str">
        <f>IF(E105&lt;&gt;"N/A",_xlfn.XLOOKUP(Data!G105,tbl_roles[Roles],tbl_roles[Short Code],,0,),"")</f>
        <v>PERL</v>
      </c>
      <c r="I105" t="str">
        <f t="shared" si="19"/>
        <v>Liam Gardner-PERL</v>
      </c>
      <c r="J105">
        <f>IFERROR(_xlfn.XLOOKUP(C105,tbl_project_planner[Ref],tbl_project_planner[Actual],,0,),"")</f>
        <v>5</v>
      </c>
      <c r="K105" s="12" cm="1">
        <f t="array" ref="K105">IFERROR(_xlfn.XLOOKUP(C105,tbl_project_planner[Ref],IF(tbl_project_planner[Est]&gt;0,tbl_project_planner[Est],"-"),,0,),"")</f>
        <v>5</v>
      </c>
      <c r="L105" s="1">
        <f>IFERROR(_xlfn.XLOOKUP(C105,tbl_project_planner[Ref],tbl_project_planner[Start Date],,0,),"")</f>
        <v>45754</v>
      </c>
      <c r="M105" s="1">
        <f>IFERROR(_xlfn.XLOOKUP(C105,tbl_project_planner[Ref],tbl_project_planner[End Date],,0,),"")</f>
        <v>45758</v>
      </c>
      <c r="N105">
        <f>IFERROR(_xlfn.XLOOKUP(C105,tbl_project_planner[Ref],tbl_project_planner[Elapse],,0,),"")</f>
        <v>5</v>
      </c>
      <c r="O105">
        <f>IFERROR(_xlfn.XLOOKUP(C105,tbl_project_planner[Ref],tbl_project_planner[Holiday],,0,),"")</f>
        <v>0</v>
      </c>
      <c r="P105">
        <f>(_xlfn.XLOOKUP(tbl_AssignRole[[#This Row],[Assigned]],tbl_staff_list[Name],tbl_staff_list[Daily_Rate],0,0))</f>
        <v>30</v>
      </c>
      <c r="Q105">
        <f>IF(tbl_AssignRole[[#This Row],[Chk]]="N/A",0,tbl_AssignRole[[#This Row],[Actual]]*tbl_AssignRole[[#This Row],[Rate]])</f>
        <v>150</v>
      </c>
      <c r="R105">
        <f>IF(tbl_AssignRole[[#This Row],[Chk]]="N/A",0,tbl_AssignRole[[#This Row],[Est]]*tbl_AssignRole[[#This Row],[Rate]])</f>
        <v>150</v>
      </c>
      <c r="U105" t="str">
        <v>2.3.5</v>
      </c>
      <c r="V105" t="str">
        <v>3.1.1</v>
      </c>
    </row>
    <row r="106" spans="2:22" x14ac:dyDescent="0.25">
      <c r="B106" t="str">
        <f>IF(tbl_AssignRole[[#This Row],[Ref]]&lt;&gt;0,tbl_AssignRole[[#This Row],[Ref]],"N/A")</f>
        <v>3.1.1</v>
      </c>
      <c r="C106" s="140" t="str">
        <f>ProjectPlan!B46</f>
        <v>3.1.1</v>
      </c>
      <c r="D106" t="str">
        <f>IFERROR(_xlfn.XLOOKUP(C106,tbl_project_planner[Ref],tbl_project_planner[Project],,0,),"")</f>
        <v>Develop/Update the Test Plan</v>
      </c>
      <c r="E106" s="16">
        <f>IF(tbl_AssignRole[[#This Row],[Chk]]="N/A","N/A",IFERROR(_xlfn.XLOOKUP(tbl_AssignRole[[#This Row],[Ref]],tbl_project_planner[Ref],tbl_project_planner[Done%],,0,),""))</f>
        <v>0</v>
      </c>
      <c r="F106" t="str">
        <f>IF(E106&lt;&gt;"N/A",_xlfn.XLOOKUP(C106,tbl_project_planner[Ref],tbl_project_planner[Assigned To],,0,),"")</f>
        <v>Hannah Fletcher</v>
      </c>
      <c r="G106" t="str">
        <f>IF(E106&lt;&gt;"N/A",_xlfn.XLOOKUP(C106,tbl_project_planner[Ref],tbl_project_planner[Role],,0,),"")</f>
        <v>Technical Lead</v>
      </c>
      <c r="H106" t="str">
        <f>IF(E106&lt;&gt;"N/A",_xlfn.XLOOKUP(Data!G106,tbl_roles[Roles],tbl_roles[Short Code],,0,),"")</f>
        <v>TECL</v>
      </c>
      <c r="I106" t="str">
        <f t="shared" si="19"/>
        <v>Hannah Fletcher-TECL</v>
      </c>
      <c r="J106">
        <f>IFERROR(_xlfn.XLOOKUP(C106,tbl_project_planner[Ref],tbl_project_planner[Actual],,0,),"")</f>
        <v>1</v>
      </c>
      <c r="K106" s="12" cm="1">
        <f t="array" ref="K106">IFERROR(_xlfn.XLOOKUP(C106,tbl_project_planner[Ref],IF(tbl_project_planner[Est]&gt;0,tbl_project_planner[Est],"-"),,0,),"")</f>
        <v>1</v>
      </c>
      <c r="L106" s="1">
        <f>IFERROR(_xlfn.XLOOKUP(C106,tbl_project_planner[Ref],tbl_project_planner[Start Date],,0,),"")</f>
        <v>45761</v>
      </c>
      <c r="M106" s="1">
        <f>IFERROR(_xlfn.XLOOKUP(C106,tbl_project_planner[Ref],tbl_project_planner[End Date],,0,),"")</f>
        <v>45761</v>
      </c>
      <c r="N106">
        <f>IFERROR(_xlfn.XLOOKUP(C106,tbl_project_planner[Ref],tbl_project_planner[Elapse],,0,),"")</f>
        <v>1</v>
      </c>
      <c r="O106">
        <f>IFERROR(_xlfn.XLOOKUP(C106,tbl_project_planner[Ref],tbl_project_planner[Holiday],,0,),"")</f>
        <v>0</v>
      </c>
      <c r="P106">
        <f>(_xlfn.XLOOKUP(tbl_AssignRole[[#This Row],[Assigned]],tbl_staff_list[Name],tbl_staff_list[Daily_Rate],0,0))</f>
        <v>10</v>
      </c>
      <c r="Q106">
        <f>IF(tbl_AssignRole[[#This Row],[Chk]]="N/A",0,tbl_AssignRole[[#This Row],[Actual]]*tbl_AssignRole[[#This Row],[Rate]])</f>
        <v>10</v>
      </c>
      <c r="R106">
        <f>IF(tbl_AssignRole[[#This Row],[Chk]]="N/A",0,tbl_AssignRole[[#This Row],[Est]]*tbl_AssignRole[[#This Row],[Rate]])</f>
        <v>10</v>
      </c>
      <c r="U106" t="str">
        <v>3.1.1</v>
      </c>
      <c r="V106" t="str">
        <v>3.1.2</v>
      </c>
    </row>
    <row r="107" spans="2:22" x14ac:dyDescent="0.25">
      <c r="B107" t="str">
        <f>IF(tbl_AssignRole[[#This Row],[Ref]]&lt;&gt;0,tbl_AssignRole[[#This Row],[Ref]],"N/A")</f>
        <v>3.1.2</v>
      </c>
      <c r="C107" s="140" t="str">
        <f>ProjectPlan!B47</f>
        <v>3.1.2</v>
      </c>
      <c r="D107" t="str">
        <f>IFERROR(_xlfn.XLOOKUP(C107,tbl_project_planner[Ref],tbl_project_planner[Project],,0,),"")</f>
        <v>Execute Tests</v>
      </c>
      <c r="E107" s="16">
        <f>IF(tbl_AssignRole[[#This Row],[Chk]]="N/A","N/A",IFERROR(_xlfn.XLOOKUP(tbl_AssignRole[[#This Row],[Ref]],tbl_project_planner[Ref],tbl_project_planner[Done%],,0,),""))</f>
        <v>0</v>
      </c>
      <c r="F107" t="str">
        <f>IF(E107&lt;&gt;"N/A",_xlfn.XLOOKUP(C107,tbl_project_planner[Ref],tbl_project_planner[Assigned To],,0,),"")</f>
        <v>Alex Parker</v>
      </c>
      <c r="G107" t="str">
        <f>IF(E107&lt;&gt;"N/A",_xlfn.XLOOKUP(C107,tbl_project_planner[Ref],tbl_project_planner[Role],,0,),"")</f>
        <v>Tester</v>
      </c>
      <c r="H107" t="str">
        <f>IF(E107&lt;&gt;"N/A",_xlfn.XLOOKUP(Data!G107,tbl_roles[Roles],tbl_roles[Short Code],,0,),"")</f>
        <v>TEST</v>
      </c>
      <c r="I107" t="str">
        <f t="shared" si="19"/>
        <v>Alex Parker-TEST</v>
      </c>
      <c r="J107">
        <f>IFERROR(_xlfn.XLOOKUP(C107,tbl_project_planner[Ref],tbl_project_planner[Actual],,0,),"")</f>
        <v>1</v>
      </c>
      <c r="K107" s="12" cm="1">
        <f t="array" ref="K107">IFERROR(_xlfn.XLOOKUP(C107,tbl_project_planner[Ref],IF(tbl_project_planner[Est]&gt;0,tbl_project_planner[Est],"-"),,0,),"")</f>
        <v>1</v>
      </c>
      <c r="L107" s="1">
        <f>IFERROR(_xlfn.XLOOKUP(C107,tbl_project_planner[Ref],tbl_project_planner[Start Date],,0,),"")</f>
        <v>45761</v>
      </c>
      <c r="M107" s="1">
        <f>IFERROR(_xlfn.XLOOKUP(C107,tbl_project_planner[Ref],tbl_project_planner[End Date],,0,),"")</f>
        <v>45761</v>
      </c>
      <c r="N107">
        <f>IFERROR(_xlfn.XLOOKUP(C107,tbl_project_planner[Ref],tbl_project_planner[Elapse],,0,),"")</f>
        <v>1</v>
      </c>
      <c r="O107">
        <f>IFERROR(_xlfn.XLOOKUP(C107,tbl_project_planner[Ref],tbl_project_planner[Holiday],,0,),"")</f>
        <v>0</v>
      </c>
      <c r="P107">
        <f>(_xlfn.XLOOKUP(tbl_AssignRole[[#This Row],[Assigned]],tbl_staff_list[Name],tbl_staff_list[Daily_Rate],0,0))</f>
        <v>17.5</v>
      </c>
      <c r="Q107">
        <f>IF(tbl_AssignRole[[#This Row],[Chk]]="N/A",0,tbl_AssignRole[[#This Row],[Actual]]*tbl_AssignRole[[#This Row],[Rate]])</f>
        <v>17.5</v>
      </c>
      <c r="R107">
        <f>IF(tbl_AssignRole[[#This Row],[Chk]]="N/A",0,tbl_AssignRole[[#This Row],[Est]]*tbl_AssignRole[[#This Row],[Rate]])</f>
        <v>17.5</v>
      </c>
      <c r="U107" t="str">
        <v>3.1.2</v>
      </c>
      <c r="V107" t="str">
        <v>3.1.3</v>
      </c>
    </row>
    <row r="108" spans="2:22" x14ac:dyDescent="0.25">
      <c r="B108" t="str">
        <f>IF(tbl_AssignRole[[#This Row],[Ref]]&lt;&gt;0,tbl_AssignRole[[#This Row],[Ref]],"N/A")</f>
        <v>3.1.3</v>
      </c>
      <c r="C108" s="140" t="str">
        <f>ProjectPlan!B48</f>
        <v>3.1.3</v>
      </c>
      <c r="D108" t="str">
        <f>IFERROR(_xlfn.XLOOKUP(C108,tbl_project_planner[Ref],tbl_project_planner[Project],,0,),"")</f>
        <v>Log Bugs and Update Documents</v>
      </c>
      <c r="E108" s="16">
        <f>IF(tbl_AssignRole[[#This Row],[Chk]]="N/A","N/A",IFERROR(_xlfn.XLOOKUP(tbl_AssignRole[[#This Row],[Ref]],tbl_project_planner[Ref],tbl_project_planner[Done%],,0,),""))</f>
        <v>0</v>
      </c>
      <c r="F108" t="str">
        <f>IF(E108&lt;&gt;"N/A",_xlfn.XLOOKUP(C108,tbl_project_planner[Ref],tbl_project_planner[Assigned To],,0,),"")</f>
        <v>Hannah Fletcher</v>
      </c>
      <c r="G108" t="str">
        <f>IF(E108&lt;&gt;"N/A",_xlfn.XLOOKUP(C108,tbl_project_planner[Ref],tbl_project_planner[Role],,0,),"")</f>
        <v>Technical Lead</v>
      </c>
      <c r="H108" t="str">
        <f>IF(E108&lt;&gt;"N/A",_xlfn.XLOOKUP(Data!G108,tbl_roles[Roles],tbl_roles[Short Code],,0,),"")</f>
        <v>TECL</v>
      </c>
      <c r="I108" t="str">
        <f t="shared" si="19"/>
        <v>Hannah Fletcher-TECL</v>
      </c>
      <c r="J108">
        <f>IFERROR(_xlfn.XLOOKUP(C108,tbl_project_planner[Ref],tbl_project_planner[Actual],,0,),"")</f>
        <v>1</v>
      </c>
      <c r="K108" s="12" cm="1">
        <f t="array" ref="K108">IFERROR(_xlfn.XLOOKUP(C108,tbl_project_planner[Ref],IF(tbl_project_planner[Est]&gt;0,tbl_project_planner[Est],"-"),,0,),"")</f>
        <v>1</v>
      </c>
      <c r="L108" s="1">
        <f>IFERROR(_xlfn.XLOOKUP(C108,tbl_project_planner[Ref],tbl_project_planner[Start Date],,0,),"")</f>
        <v>45761</v>
      </c>
      <c r="M108" s="1">
        <f>IFERROR(_xlfn.XLOOKUP(C108,tbl_project_planner[Ref],tbl_project_planner[End Date],,0,),"")</f>
        <v>45761</v>
      </c>
      <c r="N108">
        <f>IFERROR(_xlfn.XLOOKUP(C108,tbl_project_planner[Ref],tbl_project_planner[Elapse],,0,),"")</f>
        <v>1</v>
      </c>
      <c r="O108">
        <f>IFERROR(_xlfn.XLOOKUP(C108,tbl_project_planner[Ref],tbl_project_planner[Holiday],,0,),"")</f>
        <v>0</v>
      </c>
      <c r="P108">
        <f>(_xlfn.XLOOKUP(tbl_AssignRole[[#This Row],[Assigned]],tbl_staff_list[Name],tbl_staff_list[Daily_Rate],0,0))</f>
        <v>10</v>
      </c>
      <c r="Q108">
        <f>IF(tbl_AssignRole[[#This Row],[Chk]]="N/A",0,tbl_AssignRole[[#This Row],[Actual]]*tbl_AssignRole[[#This Row],[Rate]])</f>
        <v>10</v>
      </c>
      <c r="R108">
        <f>IF(tbl_AssignRole[[#This Row],[Chk]]="N/A",0,tbl_AssignRole[[#This Row],[Est]]*tbl_AssignRole[[#This Row],[Rate]])</f>
        <v>10</v>
      </c>
      <c r="U108" t="str">
        <v>3.1.3</v>
      </c>
      <c r="V108" t="str">
        <v>3.1.4</v>
      </c>
    </row>
    <row r="109" spans="2:22" x14ac:dyDescent="0.25">
      <c r="B109" t="str">
        <f>IF(tbl_AssignRole[[#This Row],[Ref]]&lt;&gt;0,tbl_AssignRole[[#This Row],[Ref]],"N/A")</f>
        <v>3.1.4</v>
      </c>
      <c r="C109" s="140" t="str">
        <f>ProjectPlan!B49</f>
        <v>3.1.4</v>
      </c>
      <c r="D109" t="str">
        <f>IFERROR(_xlfn.XLOOKUP(C109,tbl_project_planner[Ref],tbl_project_planner[Project],,0,),"")</f>
        <v>Conduct System Reliability and Performance Testing</v>
      </c>
      <c r="E109" s="16">
        <f>IF(tbl_AssignRole[[#This Row],[Chk]]="N/A","N/A",IFERROR(_xlfn.XLOOKUP(tbl_AssignRole[[#This Row],[Ref]],tbl_project_planner[Ref],tbl_project_planner[Done%],,0,),""))</f>
        <v>0</v>
      </c>
      <c r="F109" t="str">
        <f>IF(E109&lt;&gt;"N/A",_xlfn.XLOOKUP(C109,tbl_project_planner[Ref],tbl_project_planner[Assigned To],,0,),"")</f>
        <v>Liam Gardner</v>
      </c>
      <c r="G109" t="str">
        <f>IF(E109&lt;&gt;"N/A",_xlfn.XLOOKUP(C109,tbl_project_planner[Ref],tbl_project_planner[Role],,0,),"")</f>
        <v>Performance Lead</v>
      </c>
      <c r="H109" t="str">
        <f>IF(E109&lt;&gt;"N/A",_xlfn.XLOOKUP(Data!G109,tbl_roles[Roles],tbl_roles[Short Code],,0,),"")</f>
        <v>PERL</v>
      </c>
      <c r="I109" t="str">
        <f t="shared" si="19"/>
        <v>Liam Gardner-PERL</v>
      </c>
      <c r="J109">
        <f>IFERROR(_xlfn.XLOOKUP(C109,tbl_project_planner[Ref],tbl_project_planner[Actual],,0,),"")</f>
        <v>1</v>
      </c>
      <c r="K109" s="12" cm="1">
        <f t="array" ref="K109">IFERROR(_xlfn.XLOOKUP(C109,tbl_project_planner[Ref],IF(tbl_project_planner[Est]&gt;0,tbl_project_planner[Est],"-"),,0,),"")</f>
        <v>1</v>
      </c>
      <c r="L109" s="1">
        <f>IFERROR(_xlfn.XLOOKUP(C109,tbl_project_planner[Ref],tbl_project_planner[Start Date],,0,),"")</f>
        <v>45761</v>
      </c>
      <c r="M109" s="1">
        <f>IFERROR(_xlfn.XLOOKUP(C109,tbl_project_planner[Ref],tbl_project_planner[End Date],,0,),"")</f>
        <v>45761</v>
      </c>
      <c r="N109">
        <f>IFERROR(_xlfn.XLOOKUP(C109,tbl_project_planner[Ref],tbl_project_planner[Elapse],,0,),"")</f>
        <v>1</v>
      </c>
      <c r="O109">
        <f>IFERROR(_xlfn.XLOOKUP(C109,tbl_project_planner[Ref],tbl_project_planner[Holiday],,0,),"")</f>
        <v>0</v>
      </c>
      <c r="P109">
        <f>(_xlfn.XLOOKUP(tbl_AssignRole[[#This Row],[Assigned]],tbl_staff_list[Name],tbl_staff_list[Daily_Rate],0,0))</f>
        <v>30</v>
      </c>
      <c r="Q109">
        <f>IF(tbl_AssignRole[[#This Row],[Chk]]="N/A",0,tbl_AssignRole[[#This Row],[Actual]]*tbl_AssignRole[[#This Row],[Rate]])</f>
        <v>30</v>
      </c>
      <c r="R109">
        <f>IF(tbl_AssignRole[[#This Row],[Chk]]="N/A",0,tbl_AssignRole[[#This Row],[Est]]*tbl_AssignRole[[#This Row],[Rate]])</f>
        <v>30</v>
      </c>
      <c r="U109" t="str">
        <v>3.1.4</v>
      </c>
      <c r="V109" t="str">
        <v>3.1.5</v>
      </c>
    </row>
    <row r="110" spans="2:22" x14ac:dyDescent="0.25">
      <c r="B110" t="str">
        <f>IF(tbl_AssignRole[[#This Row],[Ref]]&lt;&gt;0,tbl_AssignRole[[#This Row],[Ref]],"N/A")</f>
        <v>3.1.5</v>
      </c>
      <c r="C110" s="140" t="str">
        <f>ProjectPlan!B50</f>
        <v>3.1.5</v>
      </c>
      <c r="D110" t="str">
        <f>IFERROR(_xlfn.XLOOKUP(C110,tbl_project_planner[Ref],tbl_project_planner[Project],,0,),"")</f>
        <v>Obtain Product Management and Senior Stakeholder Sign-Off</v>
      </c>
      <c r="E110" s="16">
        <f>IF(tbl_AssignRole[[#This Row],[Chk]]="N/A","N/A",IFERROR(_xlfn.XLOOKUP(tbl_AssignRole[[#This Row],[Ref]],tbl_project_planner[Ref],tbl_project_planner[Done%],,0,),""))</f>
        <v>0</v>
      </c>
      <c r="F110" t="str">
        <f>IF(E110&lt;&gt;"N/A",_xlfn.XLOOKUP(C110,tbl_project_planner[Ref],tbl_project_planner[Assigned To],,0,),"")</f>
        <v>Clara Bennett</v>
      </c>
      <c r="G110" t="str">
        <f>IF(E110&lt;&gt;"N/A",_xlfn.XLOOKUP(C110,tbl_project_planner[Ref],tbl_project_planner[Role],,0,),"")</f>
        <v>Product Owner</v>
      </c>
      <c r="H110" t="str">
        <f>IF(E110&lt;&gt;"N/A",_xlfn.XLOOKUP(Data!G110,tbl_roles[Roles],tbl_roles[Short Code],,0,),"")</f>
        <v>PROD</v>
      </c>
      <c r="I110" t="str">
        <f t="shared" si="19"/>
        <v>Clara Bennett-PROD</v>
      </c>
      <c r="J110">
        <f>IFERROR(_xlfn.XLOOKUP(C110,tbl_project_planner[Ref],tbl_project_planner[Actual],,0,),"")</f>
        <v>1</v>
      </c>
      <c r="K110" s="12" cm="1">
        <f t="array" ref="K110">IFERROR(_xlfn.XLOOKUP(C110,tbl_project_planner[Ref],IF(tbl_project_planner[Est]&gt;0,tbl_project_planner[Est],"-"),,0,),"")</f>
        <v>1</v>
      </c>
      <c r="L110" s="1">
        <f>IFERROR(_xlfn.XLOOKUP(C110,tbl_project_planner[Ref],tbl_project_planner[Start Date],,0,),"")</f>
        <v>45761</v>
      </c>
      <c r="M110" s="1">
        <f>IFERROR(_xlfn.XLOOKUP(C110,tbl_project_planner[Ref],tbl_project_planner[End Date],,0,),"")</f>
        <v>45761</v>
      </c>
      <c r="N110">
        <f>IFERROR(_xlfn.XLOOKUP(C110,tbl_project_planner[Ref],tbl_project_planner[Elapse],,0,),"")</f>
        <v>1</v>
      </c>
      <c r="O110">
        <f>IFERROR(_xlfn.XLOOKUP(C110,tbl_project_planner[Ref],tbl_project_planner[Holiday],,0,),"")</f>
        <v>0</v>
      </c>
      <c r="P110">
        <f>(_xlfn.XLOOKUP(tbl_AssignRole[[#This Row],[Assigned]],tbl_staff_list[Name],tbl_staff_list[Daily_Rate],0,0))</f>
        <v>32</v>
      </c>
      <c r="Q110">
        <f>IF(tbl_AssignRole[[#This Row],[Chk]]="N/A",0,tbl_AssignRole[[#This Row],[Actual]]*tbl_AssignRole[[#This Row],[Rate]])</f>
        <v>32</v>
      </c>
      <c r="R110">
        <f>IF(tbl_AssignRole[[#This Row],[Chk]]="N/A",0,tbl_AssignRole[[#This Row],[Est]]*tbl_AssignRole[[#This Row],[Rate]])</f>
        <v>32</v>
      </c>
      <c r="U110" t="str">
        <v>3.1.5</v>
      </c>
      <c r="V110" t="str">
        <v>4.1.1</v>
      </c>
    </row>
    <row r="111" spans="2:22" x14ac:dyDescent="0.25">
      <c r="B111" t="str">
        <f>IF(tbl_AssignRole[[#This Row],[Ref]]&lt;&gt;0,tbl_AssignRole[[#This Row],[Ref]],"N/A")</f>
        <v>4.1.1</v>
      </c>
      <c r="C111" s="140" t="str">
        <f>ProjectPlan!B53</f>
        <v>4.1.1</v>
      </c>
      <c r="D111" t="str">
        <f>IFERROR(_xlfn.XLOOKUP(C111,tbl_project_planner[Ref],tbl_project_planner[Project],,0,),"")</f>
        <v>Server Components</v>
      </c>
      <c r="E111" s="16">
        <f>IF(tbl_AssignRole[[#This Row],[Chk]]="N/A","N/A",IFERROR(_xlfn.XLOOKUP(tbl_AssignRole[[#This Row],[Ref]],tbl_project_planner[Ref],tbl_project_planner[Done%],,0,),""))</f>
        <v>0</v>
      </c>
      <c r="F111" t="str">
        <f>IF(E111&lt;&gt;"N/A",_xlfn.XLOOKUP(C111,tbl_project_planner[Ref],tbl_project_planner[Assigned To],,0,),"")</f>
        <v>Max Patel</v>
      </c>
      <c r="G111" t="str">
        <f>IF(E111&lt;&gt;"N/A",_xlfn.XLOOKUP(C111,tbl_project_planner[Ref],tbl_project_planner[Role],,0,),"")</f>
        <v>Server Developer</v>
      </c>
      <c r="H111" t="str">
        <f>IF(E111&lt;&gt;"N/A",_xlfn.XLOOKUP(Data!G111,tbl_roles[Roles],tbl_roles[Short Code],,0,),"")</f>
        <v>SERD</v>
      </c>
      <c r="I111" t="str">
        <f t="shared" si="19"/>
        <v>Max Patel-SERD</v>
      </c>
      <c r="J111">
        <f>IFERROR(_xlfn.XLOOKUP(C111,tbl_project_planner[Ref],tbl_project_planner[Actual],,0,),"")</f>
        <v>10</v>
      </c>
      <c r="K111" s="12" cm="1">
        <f t="array" ref="K111">IFERROR(_xlfn.XLOOKUP(C111,tbl_project_planner[Ref],IF(tbl_project_planner[Est]&gt;0,tbl_project_planner[Est],"-"),,0,),"")</f>
        <v>10</v>
      </c>
      <c r="L111" s="1">
        <f>IFERROR(_xlfn.XLOOKUP(C111,tbl_project_planner[Ref],tbl_project_planner[Start Date],,0,),"")</f>
        <v>45761</v>
      </c>
      <c r="M111" s="1">
        <f>IFERROR(_xlfn.XLOOKUP(C111,tbl_project_planner[Ref],tbl_project_planner[End Date],,0,),"")</f>
        <v>45776</v>
      </c>
      <c r="N111">
        <f>IFERROR(_xlfn.XLOOKUP(C111,tbl_project_planner[Ref],tbl_project_planner[Elapse],,0,),"")</f>
        <v>16</v>
      </c>
      <c r="O111">
        <f>IFERROR(_xlfn.XLOOKUP(C111,tbl_project_planner[Ref],tbl_project_planner[Holiday],,0,),"")</f>
        <v>0</v>
      </c>
      <c r="P111">
        <f>(_xlfn.XLOOKUP(tbl_AssignRole[[#This Row],[Assigned]],tbl_staff_list[Name],tbl_staff_list[Daily_Rate],0,0))</f>
        <v>30</v>
      </c>
      <c r="Q111">
        <f>IF(tbl_AssignRole[[#This Row],[Chk]]="N/A",0,tbl_AssignRole[[#This Row],[Actual]]*tbl_AssignRole[[#This Row],[Rate]])</f>
        <v>300</v>
      </c>
      <c r="R111">
        <f>IF(tbl_AssignRole[[#This Row],[Chk]]="N/A",0,tbl_AssignRole[[#This Row],[Est]]*tbl_AssignRole[[#This Row],[Rate]])</f>
        <v>300</v>
      </c>
      <c r="U111" t="str">
        <v>4.1.1</v>
      </c>
      <c r="V111" t="str">
        <v>4.1.2</v>
      </c>
    </row>
    <row r="112" spans="2:22" x14ac:dyDescent="0.25">
      <c r="B112" t="str">
        <f>IF(tbl_AssignRole[[#This Row],[Ref]]&lt;&gt;0,tbl_AssignRole[[#This Row],[Ref]],"N/A")</f>
        <v>4.1.2</v>
      </c>
      <c r="C112" s="140" t="str">
        <f>ProjectPlan!B54</f>
        <v>4.1.2</v>
      </c>
      <c r="D112" t="str">
        <f>IFERROR(_xlfn.XLOOKUP(C112,tbl_project_planner[Ref],tbl_project_planner[Project],,0,),"")</f>
        <v>Frontend</v>
      </c>
      <c r="E112" s="16">
        <f>IF(tbl_AssignRole[[#This Row],[Chk]]="N/A","N/A",IFERROR(_xlfn.XLOOKUP(tbl_AssignRole[[#This Row],[Ref]],tbl_project_planner[Ref],tbl_project_planner[Done%],,0,),""))</f>
        <v>0</v>
      </c>
      <c r="F112" t="str">
        <f>IF(E112&lt;&gt;"N/A",_xlfn.XLOOKUP(C112,tbl_project_planner[Ref],tbl_project_planner[Assigned To],,0,),"")</f>
        <v>Olivia Brooks</v>
      </c>
      <c r="G112" t="str">
        <f>IF(E112&lt;&gt;"N/A",_xlfn.XLOOKUP(C112,tbl_project_planner[Ref],tbl_project_planner[Role],,0,),"")</f>
        <v>Frontend Developer</v>
      </c>
      <c r="H112" t="str">
        <f>IF(E112&lt;&gt;"N/A",_xlfn.XLOOKUP(Data!G112,tbl_roles[Roles],tbl_roles[Short Code],,0,),"")</f>
        <v>FROD</v>
      </c>
      <c r="I112" t="str">
        <f t="shared" si="19"/>
        <v>Olivia Brooks-FROD</v>
      </c>
      <c r="J112">
        <f>IFERROR(_xlfn.XLOOKUP(C112,tbl_project_planner[Ref],tbl_project_planner[Actual],,0,),"")</f>
        <v>5</v>
      </c>
      <c r="K112" s="12" cm="1">
        <f t="array" ref="K112">IFERROR(_xlfn.XLOOKUP(C112,tbl_project_planner[Ref],IF(tbl_project_planner[Est]&gt;0,tbl_project_planner[Est],"-"),,0,),"")</f>
        <v>5</v>
      </c>
      <c r="L112" s="1">
        <f>IFERROR(_xlfn.XLOOKUP(C112,tbl_project_planner[Ref],tbl_project_planner[Start Date],,0,),"")</f>
        <v>45761</v>
      </c>
      <c r="M112" s="1">
        <f>IFERROR(_xlfn.XLOOKUP(C112,tbl_project_planner[Ref],tbl_project_planner[End Date],,0,),"")</f>
        <v>45769</v>
      </c>
      <c r="N112">
        <f>IFERROR(_xlfn.XLOOKUP(C112,tbl_project_planner[Ref],tbl_project_planner[Elapse],,0,),"")</f>
        <v>9</v>
      </c>
      <c r="O112">
        <f>IFERROR(_xlfn.XLOOKUP(C112,tbl_project_planner[Ref],tbl_project_planner[Holiday],,0,),"")</f>
        <v>0</v>
      </c>
      <c r="P112">
        <f>(_xlfn.XLOOKUP(tbl_AssignRole[[#This Row],[Assigned]],tbl_staff_list[Name],tbl_staff_list[Daily_Rate],0,0))</f>
        <v>27</v>
      </c>
      <c r="Q112">
        <f>IF(tbl_AssignRole[[#This Row],[Chk]]="N/A",0,tbl_AssignRole[[#This Row],[Actual]]*tbl_AssignRole[[#This Row],[Rate]])</f>
        <v>135</v>
      </c>
      <c r="R112">
        <f>IF(tbl_AssignRole[[#This Row],[Chk]]="N/A",0,tbl_AssignRole[[#This Row],[Est]]*tbl_AssignRole[[#This Row],[Rate]])</f>
        <v>135</v>
      </c>
      <c r="U112" t="str">
        <v>4.1.2</v>
      </c>
      <c r="V112" t="str">
        <v>4.1.3</v>
      </c>
    </row>
    <row r="113" spans="2:22" x14ac:dyDescent="0.25">
      <c r="B113" t="str">
        <f>IF(tbl_AssignRole[[#This Row],[Ref]]&lt;&gt;0,tbl_AssignRole[[#This Row],[Ref]],"N/A")</f>
        <v>4.1.3</v>
      </c>
      <c r="C113" s="140" t="str">
        <f>ProjectPlan!B55</f>
        <v>4.1.3</v>
      </c>
      <c r="D113" t="str">
        <f>IFERROR(_xlfn.XLOOKUP(C113,tbl_project_planner[Ref],tbl_project_planner[Project],,0,),"")</f>
        <v>Database</v>
      </c>
      <c r="E113" s="16">
        <f>IF(tbl_AssignRole[[#This Row],[Chk]]="N/A","N/A",IFERROR(_xlfn.XLOOKUP(tbl_AssignRole[[#This Row],[Ref]],tbl_project_planner[Ref],tbl_project_planner[Done%],,0,),""))</f>
        <v>0</v>
      </c>
      <c r="F113" t="str">
        <f>IF(E113&lt;&gt;"N/A",_xlfn.XLOOKUP(C113,tbl_project_planner[Ref],tbl_project_planner[Assigned To],,0,),"")</f>
        <v>Priya Sharma</v>
      </c>
      <c r="G113" t="str">
        <f>IF(E113&lt;&gt;"N/A",_xlfn.XLOOKUP(C113,tbl_project_planner[Ref],tbl_project_planner[Role],,0,),"")</f>
        <v>Database Developer</v>
      </c>
      <c r="H113" t="str">
        <f>IF(E113&lt;&gt;"N/A",_xlfn.XLOOKUP(Data!G113,tbl_roles[Roles],tbl_roles[Short Code],,0,),"")</f>
        <v>DBDE</v>
      </c>
      <c r="I113" t="str">
        <f t="shared" si="19"/>
        <v>Priya Sharma-DBDE</v>
      </c>
      <c r="J113">
        <f>IFERROR(_xlfn.XLOOKUP(C113,tbl_project_planner[Ref],tbl_project_planner[Actual],,0,),"")</f>
        <v>10</v>
      </c>
      <c r="K113" s="12" cm="1">
        <f t="array" ref="K113">IFERROR(_xlfn.XLOOKUP(C113,tbl_project_planner[Ref],IF(tbl_project_planner[Est]&gt;0,tbl_project_planner[Est],"-"),,0,),"")</f>
        <v>10</v>
      </c>
      <c r="L113" s="1">
        <f>IFERROR(_xlfn.XLOOKUP(C113,tbl_project_planner[Ref],tbl_project_planner[Start Date],,0,),"")</f>
        <v>45761</v>
      </c>
      <c r="M113" s="1">
        <f>IFERROR(_xlfn.XLOOKUP(C113,tbl_project_planner[Ref],tbl_project_planner[End Date],,0,),"")</f>
        <v>45776</v>
      </c>
      <c r="N113">
        <f>IFERROR(_xlfn.XLOOKUP(C113,tbl_project_planner[Ref],tbl_project_planner[Elapse],,0,),"")</f>
        <v>16</v>
      </c>
      <c r="O113">
        <f>IFERROR(_xlfn.XLOOKUP(C113,tbl_project_planner[Ref],tbl_project_planner[Holiday],,0,),"")</f>
        <v>0</v>
      </c>
      <c r="P113">
        <f>(_xlfn.XLOOKUP(tbl_AssignRole[[#This Row],[Assigned]],tbl_staff_list[Name],tbl_staff_list[Daily_Rate],0,0))</f>
        <v>25</v>
      </c>
      <c r="Q113">
        <f>IF(tbl_AssignRole[[#This Row],[Chk]]="N/A",0,tbl_AssignRole[[#This Row],[Actual]]*tbl_AssignRole[[#This Row],[Rate]])</f>
        <v>250</v>
      </c>
      <c r="R113">
        <f>IF(tbl_AssignRole[[#This Row],[Chk]]="N/A",0,tbl_AssignRole[[#This Row],[Est]]*tbl_AssignRole[[#This Row],[Rate]])</f>
        <v>250</v>
      </c>
      <c r="U113" t="str">
        <v>4.1.3</v>
      </c>
      <c r="V113" t="str">
        <v>4.1.4</v>
      </c>
    </row>
    <row r="114" spans="2:22" x14ac:dyDescent="0.25">
      <c r="B114" t="str">
        <f>IF(tbl_AssignRole[[#This Row],[Ref]]&lt;&gt;0,tbl_AssignRole[[#This Row],[Ref]],"N/A")</f>
        <v>4.1.4</v>
      </c>
      <c r="C114" s="140" t="str">
        <f>ProjectPlan!B56</f>
        <v>4.1.4</v>
      </c>
      <c r="D114" t="str">
        <f>IFERROR(_xlfn.XLOOKUP(C114,tbl_project_planner[Ref],tbl_project_planner[Project],,0,),"")</f>
        <v>Testing</v>
      </c>
      <c r="E114" s="16">
        <f>IF(tbl_AssignRole[[#This Row],[Chk]]="N/A","N/A",IFERROR(_xlfn.XLOOKUP(tbl_AssignRole[[#This Row],[Ref]],tbl_project_planner[Ref],tbl_project_planner[Done%],,0,),""))</f>
        <v>0</v>
      </c>
      <c r="F114" t="str">
        <f>IF(E114&lt;&gt;"N/A",_xlfn.XLOOKUP(C114,tbl_project_planner[Ref],tbl_project_planner[Assigned To],,0,),"")</f>
        <v>Ryan Carter</v>
      </c>
      <c r="G114" t="str">
        <f>IF(E114&lt;&gt;"N/A",_xlfn.XLOOKUP(C114,tbl_project_planner[Ref],tbl_project_planner[Role],,0,),"")</f>
        <v>Tester</v>
      </c>
      <c r="H114" t="str">
        <f>IF(E114&lt;&gt;"N/A",_xlfn.XLOOKUP(Data!G114,tbl_roles[Roles],tbl_roles[Short Code],,0,),"")</f>
        <v>TEST</v>
      </c>
      <c r="I114" t="str">
        <f t="shared" si="19"/>
        <v>Ryan Carter-TEST</v>
      </c>
      <c r="J114">
        <f>IFERROR(_xlfn.XLOOKUP(C114,tbl_project_planner[Ref],tbl_project_planner[Actual],,0,),"")</f>
        <v>10</v>
      </c>
      <c r="K114" s="12" cm="1">
        <f t="array" ref="K114">IFERROR(_xlfn.XLOOKUP(C114,tbl_project_planner[Ref],IF(tbl_project_planner[Est]&gt;0,tbl_project_planner[Est],"-"),,0,),"")</f>
        <v>10</v>
      </c>
      <c r="L114" s="1">
        <f>IFERROR(_xlfn.XLOOKUP(C114,tbl_project_planner[Ref],tbl_project_planner[Start Date],,0,),"")</f>
        <v>45762</v>
      </c>
      <c r="M114" s="1">
        <f>IFERROR(_xlfn.XLOOKUP(C114,tbl_project_planner[Ref],tbl_project_planner[End Date],,0,),"")</f>
        <v>45777</v>
      </c>
      <c r="N114">
        <f>IFERROR(_xlfn.XLOOKUP(C114,tbl_project_planner[Ref],tbl_project_planner[Elapse],,0,),"")</f>
        <v>16</v>
      </c>
      <c r="O114">
        <f>IFERROR(_xlfn.XLOOKUP(C114,tbl_project_planner[Ref],tbl_project_planner[Holiday],,0,),"")</f>
        <v>0</v>
      </c>
      <c r="P114">
        <f>(_xlfn.XLOOKUP(tbl_AssignRole[[#This Row],[Assigned]],tbl_staff_list[Name],tbl_staff_list[Daily_Rate],0,0))</f>
        <v>20</v>
      </c>
      <c r="Q114">
        <f>IF(tbl_AssignRole[[#This Row],[Chk]]="N/A",0,tbl_AssignRole[[#This Row],[Actual]]*tbl_AssignRole[[#This Row],[Rate]])</f>
        <v>200</v>
      </c>
      <c r="R114">
        <f>IF(tbl_AssignRole[[#This Row],[Chk]]="N/A",0,tbl_AssignRole[[#This Row],[Est]]*tbl_AssignRole[[#This Row],[Rate]])</f>
        <v>200</v>
      </c>
      <c r="U114" t="str">
        <v>4.1.4</v>
      </c>
      <c r="V114" t="str">
        <v>4.1.5</v>
      </c>
    </row>
    <row r="115" spans="2:22" x14ac:dyDescent="0.25">
      <c r="B115" t="str">
        <f>IF(tbl_AssignRole[[#This Row],[Ref]]&lt;&gt;0,tbl_AssignRole[[#This Row],[Ref]],"N/A")</f>
        <v>4.1.5</v>
      </c>
      <c r="C115" s="140" t="str">
        <f>ProjectPlan!B57</f>
        <v>4.1.5</v>
      </c>
      <c r="D115" t="str">
        <f>IFERROR(_xlfn.XLOOKUP(C115,tbl_project_planner[Ref],tbl_project_planner[Project],,0,),"")</f>
        <v>Frontend Two</v>
      </c>
      <c r="E115" s="16" t="str">
        <f>IF(tbl_AssignRole[[#This Row],[Chk]]="N/A","N/A",IFERROR(_xlfn.XLOOKUP(tbl_AssignRole[[#This Row],[Ref]],tbl_project_planner[Ref],tbl_project_planner[Done%],,0,),""))</f>
        <v>N/A</v>
      </c>
      <c r="F115" t="str">
        <f>IF(E115&lt;&gt;"N/A",_xlfn.XLOOKUP(C115,tbl_project_planner[Ref],tbl_project_planner[Assigned To],,0,),"")</f>
        <v/>
      </c>
      <c r="G115" t="str">
        <f>IF(E115&lt;&gt;"N/A",_xlfn.XLOOKUP(C115,tbl_project_planner[Ref],tbl_project_planner[Role],,0,),"")</f>
        <v/>
      </c>
      <c r="H115" t="str">
        <f>IF(E115&lt;&gt;"N/A",_xlfn.XLOOKUP(Data!G115,tbl_roles[Roles],tbl_roles[Short Code],,0,),"")</f>
        <v/>
      </c>
      <c r="I115" t="str">
        <f t="shared" si="19"/>
        <v>-</v>
      </c>
      <c r="J115">
        <f>IFERROR(_xlfn.XLOOKUP(C115,tbl_project_planner[Ref],tbl_project_planner[Actual],,0,),"")</f>
        <v>5</v>
      </c>
      <c r="K115" s="12" cm="1">
        <f t="array" ref="K115">IFERROR(_xlfn.XLOOKUP(C115,tbl_project_planner[Ref],IF(tbl_project_planner[Est]&gt;0,tbl_project_planner[Est],"-"),,0,),"")</f>
        <v>5</v>
      </c>
      <c r="L115" s="1">
        <f>IFERROR(_xlfn.XLOOKUP(C115,tbl_project_planner[Ref],tbl_project_planner[Start Date],,0,),"")</f>
        <v>45761</v>
      </c>
      <c r="M115" s="1">
        <f>IFERROR(_xlfn.XLOOKUP(C115,tbl_project_planner[Ref],tbl_project_planner[End Date],,0,),"")</f>
        <v>45761</v>
      </c>
      <c r="N115">
        <f>IFERROR(_xlfn.XLOOKUP(C115,tbl_project_planner[Ref],tbl_project_planner[Elapse],,0,),"")</f>
        <v>1</v>
      </c>
      <c r="O115">
        <f>IFERROR(_xlfn.XLOOKUP(C115,tbl_project_planner[Ref],tbl_project_planner[Holiday],,0,),"")</f>
        <v>0</v>
      </c>
      <c r="P115">
        <f>(_xlfn.XLOOKUP(tbl_AssignRole[[#This Row],[Assigned]],tbl_staff_list[Name],tbl_staff_list[Daily_Rate],0,0))</f>
        <v>0</v>
      </c>
      <c r="Q115">
        <f>IF(tbl_AssignRole[[#This Row],[Chk]]="N/A",0,tbl_AssignRole[[#This Row],[Actual]]*tbl_AssignRole[[#This Row],[Rate]])</f>
        <v>0</v>
      </c>
      <c r="R115">
        <f>IF(tbl_AssignRole[[#This Row],[Chk]]="N/A",0,tbl_AssignRole[[#This Row],[Est]]*tbl_AssignRole[[#This Row],[Rate]])</f>
        <v>0</v>
      </c>
      <c r="U115" t="str">
        <v>4.1.5</v>
      </c>
      <c r="V115" t="str">
        <v>4.2.1</v>
      </c>
    </row>
    <row r="116" spans="2:22" x14ac:dyDescent="0.25">
      <c r="B116" t="str">
        <f>IF(tbl_AssignRole[[#This Row],[Ref]]&lt;&gt;0,tbl_AssignRole[[#This Row],[Ref]],"N/A")</f>
        <v>4.2.1</v>
      </c>
      <c r="C116" s="140" t="str">
        <f>ProjectPlan!B60</f>
        <v>4.2.1</v>
      </c>
      <c r="D116" t="str">
        <f>IFERROR(_xlfn.XLOOKUP(C116,tbl_project_planner[Ref],tbl_project_planner[Project],,0,),"")</f>
        <v>Full UAT deployment</v>
      </c>
      <c r="E116" s="16">
        <f>IF(tbl_AssignRole[[#This Row],[Chk]]="N/A","N/A",IFERROR(_xlfn.XLOOKUP(tbl_AssignRole[[#This Row],[Ref]],tbl_project_planner[Ref],tbl_project_planner[Done%],,0,),""))</f>
        <v>0</v>
      </c>
      <c r="F116" t="str">
        <f>IF(E116&lt;&gt;"N/A",_xlfn.XLOOKUP(C116,tbl_project_planner[Ref],tbl_project_planner[Assigned To],,0,),"")</f>
        <v>Connor Reed</v>
      </c>
      <c r="G116" t="str">
        <f>IF(E116&lt;&gt;"N/A",_xlfn.XLOOKUP(C116,tbl_project_planner[Ref],tbl_project_planner[Role],,0,),"")</f>
        <v>DevOps Engineer</v>
      </c>
      <c r="H116" t="str">
        <f>IF(E116&lt;&gt;"N/A",_xlfn.XLOOKUP(Data!G116,tbl_roles[Roles],tbl_roles[Short Code],,0,),"")</f>
        <v>DEVO</v>
      </c>
      <c r="I116" t="str">
        <f t="shared" si="19"/>
        <v>Connor Reed-DEVO</v>
      </c>
      <c r="J116">
        <f>IFERROR(_xlfn.XLOOKUP(C116,tbl_project_planner[Ref],tbl_project_planner[Actual],,0,),"")</f>
        <v>5</v>
      </c>
      <c r="K116" s="12" cm="1">
        <f t="array" ref="K116">IFERROR(_xlfn.XLOOKUP(C116,tbl_project_planner[Ref],IF(tbl_project_planner[Est]&gt;0,tbl_project_planner[Est],"-"),,0,),"")</f>
        <v>5</v>
      </c>
      <c r="L116" s="1">
        <f>IFERROR(_xlfn.XLOOKUP(C116,tbl_project_planner[Ref],tbl_project_planner[Start Date],,0,),"")</f>
        <v>45762</v>
      </c>
      <c r="M116" s="1">
        <f>IFERROR(_xlfn.XLOOKUP(C116,tbl_project_planner[Ref],tbl_project_planner[End Date],,0,),"")</f>
        <v>45770</v>
      </c>
      <c r="N116">
        <f>IFERROR(_xlfn.XLOOKUP(C116,tbl_project_planner[Ref],tbl_project_planner[Elapse],,0,),"")</f>
        <v>9</v>
      </c>
      <c r="O116">
        <f>IFERROR(_xlfn.XLOOKUP(C116,tbl_project_planner[Ref],tbl_project_planner[Holiday],,0,),"")</f>
        <v>0</v>
      </c>
      <c r="P116">
        <f>(_xlfn.XLOOKUP(tbl_AssignRole[[#This Row],[Assigned]],tbl_staff_list[Name],tbl_staff_list[Daily_Rate],0,0))</f>
        <v>25</v>
      </c>
      <c r="Q116">
        <f>IF(tbl_AssignRole[[#This Row],[Chk]]="N/A",0,tbl_AssignRole[[#This Row],[Actual]]*tbl_AssignRole[[#This Row],[Rate]])</f>
        <v>125</v>
      </c>
      <c r="R116">
        <f>IF(tbl_AssignRole[[#This Row],[Chk]]="N/A",0,tbl_AssignRole[[#This Row],[Est]]*tbl_AssignRole[[#This Row],[Rate]])</f>
        <v>125</v>
      </c>
      <c r="U116" t="str">
        <v>4.2.1</v>
      </c>
      <c r="V116" t="str">
        <v>4.2.2</v>
      </c>
    </row>
    <row r="117" spans="2:22" x14ac:dyDescent="0.25">
      <c r="B117" t="str">
        <f>IF(tbl_AssignRole[[#This Row],[Ref]]&lt;&gt;0,tbl_AssignRole[[#This Row],[Ref]],"N/A")</f>
        <v>4.2.2</v>
      </c>
      <c r="C117" s="140" t="str">
        <f>ProjectPlan!B61</f>
        <v>4.2.2</v>
      </c>
      <c r="D117" t="str">
        <f>IFERROR(_xlfn.XLOOKUP(C117,tbl_project_planner[Ref],tbl_project_planner[Project],,0,),"")</f>
        <v xml:space="preserve">UAT Sever </v>
      </c>
      <c r="E117" s="16">
        <f>IF(tbl_AssignRole[[#This Row],[Chk]]="N/A","N/A",IFERROR(_xlfn.XLOOKUP(tbl_AssignRole[[#This Row],[Ref]],tbl_project_planner[Ref],tbl_project_planner[Done%],,0,),""))</f>
        <v>0</v>
      </c>
      <c r="F117" t="str">
        <f>IF(E117&lt;&gt;"N/A",_xlfn.XLOOKUP(C117,tbl_project_planner[Ref],tbl_project_planner[Assigned To],,0,),"")</f>
        <v>Max Patel</v>
      </c>
      <c r="G117" t="str">
        <f>IF(E117&lt;&gt;"N/A",_xlfn.XLOOKUP(C117,tbl_project_planner[Ref],tbl_project_planner[Role],,0,),"")</f>
        <v>Server Developer</v>
      </c>
      <c r="H117" t="str">
        <f>IF(E117&lt;&gt;"N/A",_xlfn.XLOOKUP(Data!G117,tbl_roles[Roles],tbl_roles[Short Code],,0,),"")</f>
        <v>SERD</v>
      </c>
      <c r="I117" t="str">
        <f t="shared" si="19"/>
        <v>Max Patel-SERD</v>
      </c>
      <c r="J117">
        <f>IFERROR(_xlfn.XLOOKUP(C117,tbl_project_planner[Ref],tbl_project_planner[Actual],,0,),"")</f>
        <v>3</v>
      </c>
      <c r="K117" s="12" cm="1">
        <f t="array" ref="K117">IFERROR(_xlfn.XLOOKUP(C117,tbl_project_planner[Ref],IF(tbl_project_planner[Est]&gt;0,tbl_project_planner[Est],"-"),,0,),"")</f>
        <v>3</v>
      </c>
      <c r="L117" s="1">
        <f>IFERROR(_xlfn.XLOOKUP(C117,tbl_project_planner[Ref],tbl_project_planner[Start Date],,0,),"")</f>
        <v>45762</v>
      </c>
      <c r="M117" s="1">
        <f>IFERROR(_xlfn.XLOOKUP(C117,tbl_project_planner[Ref],tbl_project_planner[End Date],,0,),"")</f>
        <v>45764</v>
      </c>
      <c r="N117">
        <f>IFERROR(_xlfn.XLOOKUP(C117,tbl_project_planner[Ref],tbl_project_planner[Elapse],,0,),"")</f>
        <v>3</v>
      </c>
      <c r="O117">
        <f>IFERROR(_xlfn.XLOOKUP(C117,tbl_project_planner[Ref],tbl_project_planner[Holiday],,0,),"")</f>
        <v>0</v>
      </c>
      <c r="P117">
        <f>(_xlfn.XLOOKUP(tbl_AssignRole[[#This Row],[Assigned]],tbl_staff_list[Name],tbl_staff_list[Daily_Rate],0,0))</f>
        <v>30</v>
      </c>
      <c r="Q117">
        <f>IF(tbl_AssignRole[[#This Row],[Chk]]="N/A",0,tbl_AssignRole[[#This Row],[Actual]]*tbl_AssignRole[[#This Row],[Rate]])</f>
        <v>90</v>
      </c>
      <c r="R117">
        <f>IF(tbl_AssignRole[[#This Row],[Chk]]="N/A",0,tbl_AssignRole[[#This Row],[Est]]*tbl_AssignRole[[#This Row],[Rate]])</f>
        <v>90</v>
      </c>
      <c r="U117" t="str">
        <v>4.2.2</v>
      </c>
      <c r="V117" t="str">
        <v>4.2.3</v>
      </c>
    </row>
    <row r="118" spans="2:22" x14ac:dyDescent="0.25">
      <c r="B118" t="str">
        <f>IF(tbl_AssignRole[[#This Row],[Ref]]&lt;&gt;0,tbl_AssignRole[[#This Row],[Ref]],"N/A")</f>
        <v>4.2.3</v>
      </c>
      <c r="C118" s="140" t="str">
        <f>ProjectPlan!B62</f>
        <v>4.2.3</v>
      </c>
      <c r="D118" t="str">
        <f>IFERROR(_xlfn.XLOOKUP(C118,tbl_project_planner[Ref],tbl_project_planner[Project],,0,),"")</f>
        <v>UAT Frontend</v>
      </c>
      <c r="E118" s="16">
        <f>IF(tbl_AssignRole[[#This Row],[Chk]]="N/A","N/A",IFERROR(_xlfn.XLOOKUP(tbl_AssignRole[[#This Row],[Ref]],tbl_project_planner[Ref],tbl_project_planner[Done%],,0,),""))</f>
        <v>0</v>
      </c>
      <c r="F118" t="str">
        <f>IF(E118&lt;&gt;"N/A",_xlfn.XLOOKUP(C118,tbl_project_planner[Ref],tbl_project_planner[Assigned To],,0,),"")</f>
        <v>Hannah Fletcher</v>
      </c>
      <c r="G118" t="str">
        <f>IF(E118&lt;&gt;"N/A",_xlfn.XLOOKUP(C118,tbl_project_planner[Ref],tbl_project_planner[Role],,0,),"")</f>
        <v>Technical Lead</v>
      </c>
      <c r="H118" t="str">
        <f>IF(E118&lt;&gt;"N/A",_xlfn.XLOOKUP(Data!G118,tbl_roles[Roles],tbl_roles[Short Code],,0,),"")</f>
        <v>TECL</v>
      </c>
      <c r="I118" t="str">
        <f t="shared" si="19"/>
        <v>Hannah Fletcher-TECL</v>
      </c>
      <c r="J118">
        <f>IFERROR(_xlfn.XLOOKUP(C118,tbl_project_planner[Ref],tbl_project_planner[Actual],,0,),"")</f>
        <v>3</v>
      </c>
      <c r="K118" s="12" cm="1">
        <f t="array" ref="K118">IFERROR(_xlfn.XLOOKUP(C118,tbl_project_planner[Ref],IF(tbl_project_planner[Est]&gt;0,tbl_project_planner[Est],"-"),,0,),"")</f>
        <v>3</v>
      </c>
      <c r="L118" s="1">
        <f>IFERROR(_xlfn.XLOOKUP(C118,tbl_project_planner[Ref],tbl_project_planner[Start Date],,0,),"")</f>
        <v>45762</v>
      </c>
      <c r="M118" s="1">
        <f>IFERROR(_xlfn.XLOOKUP(C118,tbl_project_planner[Ref],tbl_project_planner[End Date],,0,),"")</f>
        <v>45764</v>
      </c>
      <c r="N118">
        <f>IFERROR(_xlfn.XLOOKUP(C118,tbl_project_planner[Ref],tbl_project_planner[Elapse],,0,),"")</f>
        <v>3</v>
      </c>
      <c r="O118">
        <f>IFERROR(_xlfn.XLOOKUP(C118,tbl_project_planner[Ref],tbl_project_planner[Holiday],,0,),"")</f>
        <v>0</v>
      </c>
      <c r="P118">
        <f>(_xlfn.XLOOKUP(tbl_AssignRole[[#This Row],[Assigned]],tbl_staff_list[Name],tbl_staff_list[Daily_Rate],0,0))</f>
        <v>10</v>
      </c>
      <c r="Q118">
        <f>IF(tbl_AssignRole[[#This Row],[Chk]]="N/A",0,tbl_AssignRole[[#This Row],[Actual]]*tbl_AssignRole[[#This Row],[Rate]])</f>
        <v>30</v>
      </c>
      <c r="R118">
        <f>IF(tbl_AssignRole[[#This Row],[Chk]]="N/A",0,tbl_AssignRole[[#This Row],[Est]]*tbl_AssignRole[[#This Row],[Rate]])</f>
        <v>30</v>
      </c>
      <c r="U118" t="str">
        <v>4.2.3</v>
      </c>
      <c r="V118" t="str">
        <v>4.2.4</v>
      </c>
    </row>
    <row r="119" spans="2:22" x14ac:dyDescent="0.25">
      <c r="B119" t="str">
        <f>IF(tbl_AssignRole[[#This Row],[Ref]]&lt;&gt;0,tbl_AssignRole[[#This Row],[Ref]],"N/A")</f>
        <v>4.2.4</v>
      </c>
      <c r="C119" s="140" t="str">
        <f>ProjectPlan!B63</f>
        <v>4.2.4</v>
      </c>
      <c r="D119" t="str">
        <f>IFERROR(_xlfn.XLOOKUP(C119,tbl_project_planner[Ref],tbl_project_planner[Project],,0,),"")</f>
        <v>UAT Data</v>
      </c>
      <c r="E119" s="16">
        <f>IF(tbl_AssignRole[[#This Row],[Chk]]="N/A","N/A",IFERROR(_xlfn.XLOOKUP(tbl_AssignRole[[#This Row],[Ref]],tbl_project_planner[Ref],tbl_project_planner[Done%],,0,),""))</f>
        <v>0</v>
      </c>
      <c r="F119" t="str">
        <f>IF(E119&lt;&gt;"N/A",_xlfn.XLOOKUP(C119,tbl_project_planner[Ref],tbl_project_planner[Assigned To],,0,),"")</f>
        <v>Priya Sharma</v>
      </c>
      <c r="G119" t="str">
        <f>IF(E119&lt;&gt;"N/A",_xlfn.XLOOKUP(C119,tbl_project_planner[Ref],tbl_project_planner[Role],,0,),"")</f>
        <v>Database Developer</v>
      </c>
      <c r="H119" t="str">
        <f>IF(E119&lt;&gt;"N/A",_xlfn.XLOOKUP(Data!G119,tbl_roles[Roles],tbl_roles[Short Code],,0,),"")</f>
        <v>DBDE</v>
      </c>
      <c r="I119" t="str">
        <f t="shared" si="19"/>
        <v>Priya Sharma-DBDE</v>
      </c>
      <c r="J119">
        <f>IFERROR(_xlfn.XLOOKUP(C119,tbl_project_planner[Ref],tbl_project_planner[Actual],,0,),"")</f>
        <v>3</v>
      </c>
      <c r="K119" s="12" cm="1">
        <f t="array" ref="K119">IFERROR(_xlfn.XLOOKUP(C119,tbl_project_planner[Ref],IF(tbl_project_planner[Est]&gt;0,tbl_project_planner[Est],"-"),,0,),"")</f>
        <v>3</v>
      </c>
      <c r="L119" s="1">
        <f>IFERROR(_xlfn.XLOOKUP(C119,tbl_project_planner[Ref],tbl_project_planner[Start Date],,0,),"")</f>
        <v>45762</v>
      </c>
      <c r="M119" s="1">
        <f>IFERROR(_xlfn.XLOOKUP(C119,tbl_project_planner[Ref],tbl_project_planner[End Date],,0,),"")</f>
        <v>45764</v>
      </c>
      <c r="N119">
        <f>IFERROR(_xlfn.XLOOKUP(C119,tbl_project_planner[Ref],tbl_project_planner[Elapse],,0,),"")</f>
        <v>3</v>
      </c>
      <c r="O119">
        <f>IFERROR(_xlfn.XLOOKUP(C119,tbl_project_planner[Ref],tbl_project_planner[Holiday],,0,),"")</f>
        <v>0</v>
      </c>
      <c r="P119">
        <f>(_xlfn.XLOOKUP(tbl_AssignRole[[#This Row],[Assigned]],tbl_staff_list[Name],tbl_staff_list[Daily_Rate],0,0))</f>
        <v>25</v>
      </c>
      <c r="Q119">
        <f>IF(tbl_AssignRole[[#This Row],[Chk]]="N/A",0,tbl_AssignRole[[#This Row],[Actual]]*tbl_AssignRole[[#This Row],[Rate]])</f>
        <v>75</v>
      </c>
      <c r="R119">
        <f>IF(tbl_AssignRole[[#This Row],[Chk]]="N/A",0,tbl_AssignRole[[#This Row],[Est]]*tbl_AssignRole[[#This Row],[Rate]])</f>
        <v>75</v>
      </c>
      <c r="U119" t="str">
        <v>4.2.4</v>
      </c>
      <c r="V119" t="str">
        <v>4.2.5</v>
      </c>
    </row>
    <row r="120" spans="2:22" x14ac:dyDescent="0.25">
      <c r="B120" t="str">
        <f>IF(tbl_AssignRole[[#This Row],[Ref]]&lt;&gt;0,tbl_AssignRole[[#This Row],[Ref]],"N/A")</f>
        <v>4.2.5</v>
      </c>
      <c r="C120" s="140" t="str">
        <f>ProjectPlan!B64</f>
        <v>4.2.5</v>
      </c>
      <c r="D120" t="str">
        <f>IFERROR(_xlfn.XLOOKUP(C120,tbl_project_planner[Ref],tbl_project_planner[Project],,0,),"")</f>
        <v>UAT Performance</v>
      </c>
      <c r="E120" s="16">
        <f>IF(tbl_AssignRole[[#This Row],[Chk]]="N/A","N/A",IFERROR(_xlfn.XLOOKUP(tbl_AssignRole[[#This Row],[Ref]],tbl_project_planner[Ref],tbl_project_planner[Done%],,0,),""))</f>
        <v>0</v>
      </c>
      <c r="F120" t="str">
        <f>IF(E120&lt;&gt;"N/A",_xlfn.XLOOKUP(C120,tbl_project_planner[Ref],tbl_project_planner[Assigned To],,0,),"")</f>
        <v>Liam Gardner</v>
      </c>
      <c r="G120" t="str">
        <f>IF(E120&lt;&gt;"N/A",_xlfn.XLOOKUP(C120,tbl_project_planner[Ref],tbl_project_planner[Role],,0,),"")</f>
        <v>Performance Lead</v>
      </c>
      <c r="H120" t="str">
        <f>IF(E120&lt;&gt;"N/A",_xlfn.XLOOKUP(Data!G120,tbl_roles[Roles],tbl_roles[Short Code],,0,),"")</f>
        <v>PERL</v>
      </c>
      <c r="I120" t="str">
        <f t="shared" si="19"/>
        <v>Liam Gardner-PERL</v>
      </c>
      <c r="J120">
        <f>IFERROR(_xlfn.XLOOKUP(C120,tbl_project_planner[Ref],tbl_project_planner[Actual],,0,),"")</f>
        <v>3</v>
      </c>
      <c r="K120" s="12" cm="1">
        <f t="array" ref="K120">IFERROR(_xlfn.XLOOKUP(C120,tbl_project_planner[Ref],IF(tbl_project_planner[Est]&gt;0,tbl_project_planner[Est],"-"),,0,),"")</f>
        <v>3</v>
      </c>
      <c r="L120" s="1">
        <f>IFERROR(_xlfn.XLOOKUP(C120,tbl_project_planner[Ref],tbl_project_planner[Start Date],,0,),"")</f>
        <v>45762</v>
      </c>
      <c r="M120" s="1">
        <f>IFERROR(_xlfn.XLOOKUP(C120,tbl_project_planner[Ref],tbl_project_planner[End Date],,0,),"")</f>
        <v>45764</v>
      </c>
      <c r="N120">
        <f>IFERROR(_xlfn.XLOOKUP(C120,tbl_project_planner[Ref],tbl_project_planner[Elapse],,0,),"")</f>
        <v>3</v>
      </c>
      <c r="O120">
        <f>IFERROR(_xlfn.XLOOKUP(C120,tbl_project_planner[Ref],tbl_project_planner[Holiday],,0,),"")</f>
        <v>0</v>
      </c>
      <c r="P120">
        <f>(_xlfn.XLOOKUP(tbl_AssignRole[[#This Row],[Assigned]],tbl_staff_list[Name],tbl_staff_list[Daily_Rate],0,0))</f>
        <v>30</v>
      </c>
      <c r="Q120">
        <f>IF(tbl_AssignRole[[#This Row],[Chk]]="N/A",0,tbl_AssignRole[[#This Row],[Actual]]*tbl_AssignRole[[#This Row],[Rate]])</f>
        <v>90</v>
      </c>
      <c r="R120">
        <f>IF(tbl_AssignRole[[#This Row],[Chk]]="N/A",0,tbl_AssignRole[[#This Row],[Est]]*tbl_AssignRole[[#This Row],[Rate]])</f>
        <v>90</v>
      </c>
      <c r="U120" t="str">
        <v>4.2.5</v>
      </c>
      <c r="V120" t="str">
        <v>4.3.1</v>
      </c>
    </row>
    <row r="121" spans="2:22" x14ac:dyDescent="0.25">
      <c r="B121" t="str">
        <f>IF(tbl_AssignRole[[#This Row],[Ref]]&lt;&gt;0,tbl_AssignRole[[#This Row],[Ref]],"N/A")</f>
        <v>4.3.1</v>
      </c>
      <c r="C121" s="140" t="str">
        <f>ProjectPlan!B67</f>
        <v>4.3.1</v>
      </c>
      <c r="D121" t="str">
        <f>IFERROR(_xlfn.XLOOKUP(C121,tbl_project_planner[Ref],tbl_project_planner[Project],,0,),"")</f>
        <v>Full PRE-PROD deployment</v>
      </c>
      <c r="E121" s="16">
        <f>IF(tbl_AssignRole[[#This Row],[Chk]]="N/A","N/A",IFERROR(_xlfn.XLOOKUP(tbl_AssignRole[[#This Row],[Ref]],tbl_project_planner[Ref],tbl_project_planner[Done%],,0,),""))</f>
        <v>0</v>
      </c>
      <c r="F121" t="str">
        <f>IF(E121&lt;&gt;"N/A",_xlfn.XLOOKUP(C121,tbl_project_planner[Ref],tbl_project_planner[Assigned To],,0,),"")</f>
        <v>Connor Reed</v>
      </c>
      <c r="G121" t="str">
        <f>IF(E121&lt;&gt;"N/A",_xlfn.XLOOKUP(C121,tbl_project_planner[Ref],tbl_project_planner[Role],,0,),"")</f>
        <v>DevOps Engineer</v>
      </c>
      <c r="H121" t="str">
        <f>IF(E121&lt;&gt;"N/A",_xlfn.XLOOKUP(Data!G121,tbl_roles[Roles],tbl_roles[Short Code],,0,),"")</f>
        <v>DEVO</v>
      </c>
      <c r="I121" t="str">
        <f t="shared" si="19"/>
        <v>Connor Reed-DEVO</v>
      </c>
      <c r="J121">
        <f>IFERROR(_xlfn.XLOOKUP(C121,tbl_project_planner[Ref],tbl_project_planner[Actual],,0,),"")</f>
        <v>3</v>
      </c>
      <c r="K121" s="12" cm="1">
        <f t="array" ref="K121">IFERROR(_xlfn.XLOOKUP(C121,tbl_project_planner[Ref],IF(tbl_project_planner[Est]&gt;0,tbl_project_planner[Est],"-"),,0,),"")</f>
        <v>3</v>
      </c>
      <c r="L121" s="1">
        <f>IFERROR(_xlfn.XLOOKUP(C121,tbl_project_planner[Ref],tbl_project_planner[Start Date],,0,),"")</f>
        <v>45769</v>
      </c>
      <c r="M121" s="1">
        <f>IFERROR(_xlfn.XLOOKUP(C121,tbl_project_planner[Ref],tbl_project_planner[End Date],,0,),"")</f>
        <v>45771</v>
      </c>
      <c r="N121">
        <f>IFERROR(_xlfn.XLOOKUP(C121,tbl_project_planner[Ref],tbl_project_planner[Elapse],,0,),"")</f>
        <v>3</v>
      </c>
      <c r="O121">
        <f>IFERROR(_xlfn.XLOOKUP(C121,tbl_project_planner[Ref],tbl_project_planner[Holiday],,0,),"")</f>
        <v>0</v>
      </c>
      <c r="P121">
        <f>(_xlfn.XLOOKUP(tbl_AssignRole[[#This Row],[Assigned]],tbl_staff_list[Name],tbl_staff_list[Daily_Rate],0,0))</f>
        <v>25</v>
      </c>
      <c r="Q121">
        <f>IF(tbl_AssignRole[[#This Row],[Chk]]="N/A",0,tbl_AssignRole[[#This Row],[Actual]]*tbl_AssignRole[[#This Row],[Rate]])</f>
        <v>75</v>
      </c>
      <c r="R121">
        <f>IF(tbl_AssignRole[[#This Row],[Chk]]="N/A",0,tbl_AssignRole[[#This Row],[Est]]*tbl_AssignRole[[#This Row],[Rate]])</f>
        <v>75</v>
      </c>
      <c r="U121" t="str">
        <v>4.3.1</v>
      </c>
      <c r="V121" t="str">
        <v>4.3.2</v>
      </c>
    </row>
    <row r="122" spans="2:22" x14ac:dyDescent="0.25">
      <c r="B122" t="str">
        <f>IF(tbl_AssignRole[[#This Row],[Ref]]&lt;&gt;0,tbl_AssignRole[[#This Row],[Ref]],"N/A")</f>
        <v>4.3.2</v>
      </c>
      <c r="C122" s="140" t="str">
        <f>ProjectPlan!B68</f>
        <v>4.3.2</v>
      </c>
      <c r="D122" t="str">
        <f>IFERROR(_xlfn.XLOOKUP(C122,tbl_project_planner[Ref],tbl_project_planner[Project],,0,),"")</f>
        <v xml:space="preserve"> PRE-PROD  Sever </v>
      </c>
      <c r="E122" s="16">
        <f>IF(tbl_AssignRole[[#This Row],[Chk]]="N/A","N/A",IFERROR(_xlfn.XLOOKUP(tbl_AssignRole[[#This Row],[Ref]],tbl_project_planner[Ref],tbl_project_planner[Done%],,0,),""))</f>
        <v>0</v>
      </c>
      <c r="F122" t="str">
        <f>IF(E122&lt;&gt;"N/A",_xlfn.XLOOKUP(C122,tbl_project_planner[Ref],tbl_project_planner[Assigned To],,0,),"")</f>
        <v>Max Patel</v>
      </c>
      <c r="G122" t="str">
        <f>IF(E122&lt;&gt;"N/A",_xlfn.XLOOKUP(C122,tbl_project_planner[Ref],tbl_project_planner[Role],,0,),"")</f>
        <v>Server Developer</v>
      </c>
      <c r="H122" t="str">
        <f>IF(E122&lt;&gt;"N/A",_xlfn.XLOOKUP(Data!G122,tbl_roles[Roles],tbl_roles[Short Code],,0,),"")</f>
        <v>SERD</v>
      </c>
      <c r="I122" t="str">
        <f t="shared" si="19"/>
        <v>Max Patel-SERD</v>
      </c>
      <c r="J122">
        <f>IFERROR(_xlfn.XLOOKUP(C122,tbl_project_planner[Ref],tbl_project_planner[Actual],,0,),"")</f>
        <v>1</v>
      </c>
      <c r="K122" s="12" cm="1">
        <f t="array" ref="K122">IFERROR(_xlfn.XLOOKUP(C122,tbl_project_planner[Ref],IF(tbl_project_planner[Est]&gt;0,tbl_project_planner[Est],"-"),,0,),"")</f>
        <v>1</v>
      </c>
      <c r="L122" s="1">
        <f>IFERROR(_xlfn.XLOOKUP(C122,tbl_project_planner[Ref],tbl_project_planner[Start Date],,0,),"")</f>
        <v>45769</v>
      </c>
      <c r="M122" s="1">
        <f>IFERROR(_xlfn.XLOOKUP(C122,tbl_project_planner[Ref],tbl_project_planner[End Date],,0,),"")</f>
        <v>45769</v>
      </c>
      <c r="N122">
        <f>IFERROR(_xlfn.XLOOKUP(C122,tbl_project_planner[Ref],tbl_project_planner[Elapse],,0,),"")</f>
        <v>1</v>
      </c>
      <c r="O122">
        <f>IFERROR(_xlfn.XLOOKUP(C122,tbl_project_planner[Ref],tbl_project_planner[Holiday],,0,),"")</f>
        <v>0</v>
      </c>
      <c r="P122">
        <f>(_xlfn.XLOOKUP(tbl_AssignRole[[#This Row],[Assigned]],tbl_staff_list[Name],tbl_staff_list[Daily_Rate],0,0))</f>
        <v>30</v>
      </c>
      <c r="Q122">
        <f>IF(tbl_AssignRole[[#This Row],[Chk]]="N/A",0,tbl_AssignRole[[#This Row],[Actual]]*tbl_AssignRole[[#This Row],[Rate]])</f>
        <v>30</v>
      </c>
      <c r="R122">
        <f>IF(tbl_AssignRole[[#This Row],[Chk]]="N/A",0,tbl_AssignRole[[#This Row],[Est]]*tbl_AssignRole[[#This Row],[Rate]])</f>
        <v>30</v>
      </c>
      <c r="U122" t="str">
        <v>4.3.2</v>
      </c>
      <c r="V122" t="str">
        <v>4.3.3</v>
      </c>
    </row>
    <row r="123" spans="2:22" x14ac:dyDescent="0.25">
      <c r="B123" t="str">
        <f>IF(tbl_AssignRole[[#This Row],[Ref]]&lt;&gt;0,tbl_AssignRole[[#This Row],[Ref]],"N/A")</f>
        <v>4.3.3</v>
      </c>
      <c r="C123" s="140" t="str">
        <f>ProjectPlan!B69</f>
        <v>4.3.3</v>
      </c>
      <c r="D123" t="str">
        <f>IFERROR(_xlfn.XLOOKUP(C123,tbl_project_planner[Ref],tbl_project_planner[Project],,0,),"")</f>
        <v xml:space="preserve"> PRE-PROD  Frontend</v>
      </c>
      <c r="E123" s="16">
        <f>IF(tbl_AssignRole[[#This Row],[Chk]]="N/A","N/A",IFERROR(_xlfn.XLOOKUP(tbl_AssignRole[[#This Row],[Ref]],tbl_project_planner[Ref],tbl_project_planner[Done%],,0,),""))</f>
        <v>0</v>
      </c>
      <c r="F123" t="str">
        <f>IF(E123&lt;&gt;"N/A",_xlfn.XLOOKUP(C123,tbl_project_planner[Ref],tbl_project_planner[Assigned To],,0,),"")</f>
        <v>Hannah Fletcher</v>
      </c>
      <c r="G123" t="str">
        <f>IF(E123&lt;&gt;"N/A",_xlfn.XLOOKUP(C123,tbl_project_planner[Ref],tbl_project_planner[Role],,0,),"")</f>
        <v>Technical Lead</v>
      </c>
      <c r="H123" t="str">
        <f>IF(E123&lt;&gt;"N/A",_xlfn.XLOOKUP(Data!G123,tbl_roles[Roles],tbl_roles[Short Code],,0,),"")</f>
        <v>TECL</v>
      </c>
      <c r="I123" t="str">
        <f t="shared" si="19"/>
        <v>Hannah Fletcher-TECL</v>
      </c>
      <c r="J123">
        <f>IFERROR(_xlfn.XLOOKUP(C123,tbl_project_planner[Ref],tbl_project_planner[Actual],,0,),"")</f>
        <v>1</v>
      </c>
      <c r="K123" s="12" cm="1">
        <f t="array" ref="K123">IFERROR(_xlfn.XLOOKUP(C123,tbl_project_planner[Ref],IF(tbl_project_planner[Est]&gt;0,tbl_project_planner[Est],"-"),,0,),"")</f>
        <v>1</v>
      </c>
      <c r="L123" s="1">
        <f>IFERROR(_xlfn.XLOOKUP(C123,tbl_project_planner[Ref],tbl_project_planner[Start Date],,0,),"")</f>
        <v>45769</v>
      </c>
      <c r="M123" s="1">
        <f>IFERROR(_xlfn.XLOOKUP(C123,tbl_project_planner[Ref],tbl_project_planner[End Date],,0,),"")</f>
        <v>45769</v>
      </c>
      <c r="N123">
        <f>IFERROR(_xlfn.XLOOKUP(C123,tbl_project_planner[Ref],tbl_project_planner[Elapse],,0,),"")</f>
        <v>1</v>
      </c>
      <c r="O123">
        <f>IFERROR(_xlfn.XLOOKUP(C123,tbl_project_planner[Ref],tbl_project_planner[Holiday],,0,),"")</f>
        <v>0</v>
      </c>
      <c r="P123">
        <f>(_xlfn.XLOOKUP(tbl_AssignRole[[#This Row],[Assigned]],tbl_staff_list[Name],tbl_staff_list[Daily_Rate],0,0))</f>
        <v>10</v>
      </c>
      <c r="Q123">
        <f>IF(tbl_AssignRole[[#This Row],[Chk]]="N/A",0,tbl_AssignRole[[#This Row],[Actual]]*tbl_AssignRole[[#This Row],[Rate]])</f>
        <v>10</v>
      </c>
      <c r="R123">
        <f>IF(tbl_AssignRole[[#This Row],[Chk]]="N/A",0,tbl_AssignRole[[#This Row],[Est]]*tbl_AssignRole[[#This Row],[Rate]])</f>
        <v>10</v>
      </c>
      <c r="U123" t="str">
        <v>4.3.3</v>
      </c>
      <c r="V123" t="str">
        <v>4.3.4</v>
      </c>
    </row>
    <row r="124" spans="2:22" x14ac:dyDescent="0.25">
      <c r="B124" t="str">
        <f>IF(tbl_AssignRole[[#This Row],[Ref]]&lt;&gt;0,tbl_AssignRole[[#This Row],[Ref]],"N/A")</f>
        <v>4.3.4</v>
      </c>
      <c r="C124" s="140" t="str">
        <f>ProjectPlan!B70</f>
        <v>4.3.4</v>
      </c>
      <c r="D124" t="str">
        <f>IFERROR(_xlfn.XLOOKUP(C124,tbl_project_planner[Ref],tbl_project_planner[Project],,0,),"")</f>
        <v xml:space="preserve"> PRE-PROD  Data</v>
      </c>
      <c r="E124" s="16">
        <f>IF(tbl_AssignRole[[#This Row],[Chk]]="N/A","N/A",IFERROR(_xlfn.XLOOKUP(tbl_AssignRole[[#This Row],[Ref]],tbl_project_planner[Ref],tbl_project_planner[Done%],,0,),""))</f>
        <v>0</v>
      </c>
      <c r="F124" t="str">
        <f>IF(E124&lt;&gt;"N/A",_xlfn.XLOOKUP(C124,tbl_project_planner[Ref],tbl_project_planner[Assigned To],,0,),"")</f>
        <v>Evelyn Hart</v>
      </c>
      <c r="G124" t="str">
        <f>IF(E124&lt;&gt;"N/A",_xlfn.XLOOKUP(C124,tbl_project_planner[Ref],tbl_project_planner[Role],,0,),"")</f>
        <v>Architect</v>
      </c>
      <c r="H124" t="str">
        <f>IF(E124&lt;&gt;"N/A",_xlfn.XLOOKUP(Data!G124,tbl_roles[Roles],tbl_roles[Short Code],,0,),"")</f>
        <v>ARCH</v>
      </c>
      <c r="I124" t="str">
        <f t="shared" si="19"/>
        <v>Evelyn Hart-ARCH</v>
      </c>
      <c r="J124">
        <f>IFERROR(_xlfn.XLOOKUP(C124,tbl_project_planner[Ref],tbl_project_planner[Actual],,0,),"")</f>
        <v>1</v>
      </c>
      <c r="K124" s="12" cm="1">
        <f t="array" ref="K124">IFERROR(_xlfn.XLOOKUP(C124,tbl_project_planner[Ref],IF(tbl_project_planner[Est]&gt;0,tbl_project_planner[Est],"-"),,0,),"")</f>
        <v>1</v>
      </c>
      <c r="L124" s="1">
        <f>IFERROR(_xlfn.XLOOKUP(C124,tbl_project_planner[Ref],tbl_project_planner[Start Date],,0,),"")</f>
        <v>45769</v>
      </c>
      <c r="M124" s="1">
        <f>IFERROR(_xlfn.XLOOKUP(C124,tbl_project_planner[Ref],tbl_project_planner[End Date],,0,),"")</f>
        <v>45769</v>
      </c>
      <c r="N124">
        <f>IFERROR(_xlfn.XLOOKUP(C124,tbl_project_planner[Ref],tbl_project_planner[Elapse],,0,),"")</f>
        <v>1</v>
      </c>
      <c r="O124">
        <f>IFERROR(_xlfn.XLOOKUP(C124,tbl_project_planner[Ref],tbl_project_planner[Holiday],,0,),"")</f>
        <v>0</v>
      </c>
      <c r="P124">
        <f>(_xlfn.XLOOKUP(tbl_AssignRole[[#This Row],[Assigned]],tbl_staff_list[Name],tbl_staff_list[Daily_Rate],0,0))</f>
        <v>30</v>
      </c>
      <c r="Q124">
        <f>IF(tbl_AssignRole[[#This Row],[Chk]]="N/A",0,tbl_AssignRole[[#This Row],[Actual]]*tbl_AssignRole[[#This Row],[Rate]])</f>
        <v>30</v>
      </c>
      <c r="R124">
        <f>IF(tbl_AssignRole[[#This Row],[Chk]]="N/A",0,tbl_AssignRole[[#This Row],[Est]]*tbl_AssignRole[[#This Row],[Rate]])</f>
        <v>30</v>
      </c>
      <c r="U124" t="str">
        <v>4.3.4</v>
      </c>
      <c r="V124" t="str">
        <v>4.3.5</v>
      </c>
    </row>
    <row r="125" spans="2:22" x14ac:dyDescent="0.25">
      <c r="B125" t="str">
        <f>IF(tbl_AssignRole[[#This Row],[Ref]]&lt;&gt;0,tbl_AssignRole[[#This Row],[Ref]],"N/A")</f>
        <v>4.3.5</v>
      </c>
      <c r="C125" s="140" t="str">
        <f>ProjectPlan!B71</f>
        <v>4.3.5</v>
      </c>
      <c r="D125" t="str">
        <f>IFERROR(_xlfn.XLOOKUP(C125,tbl_project_planner[Ref],tbl_project_planner[Project],,0,),"")</f>
        <v xml:space="preserve"> PRE-PROD  Performance and Monitoring</v>
      </c>
      <c r="E125" s="16">
        <f>IF(tbl_AssignRole[[#This Row],[Chk]]="N/A","N/A",IFERROR(_xlfn.XLOOKUP(tbl_AssignRole[[#This Row],[Ref]],tbl_project_planner[Ref],tbl_project_planner[Done%],,0,),""))</f>
        <v>0</v>
      </c>
      <c r="F125" t="str">
        <f>IF(E125&lt;&gt;"N/A",_xlfn.XLOOKUP(C125,tbl_project_planner[Ref],tbl_project_planner[Assigned To],,0,),"")</f>
        <v>Liam Gardner</v>
      </c>
      <c r="G125" t="str">
        <f>IF(E125&lt;&gt;"N/A",_xlfn.XLOOKUP(C125,tbl_project_planner[Ref],tbl_project_planner[Role],,0,),"")</f>
        <v>Performance Lead</v>
      </c>
      <c r="H125" t="str">
        <f>IF(E125&lt;&gt;"N/A",_xlfn.XLOOKUP(Data!G125,tbl_roles[Roles],tbl_roles[Short Code],,0,),"")</f>
        <v>PERL</v>
      </c>
      <c r="I125" t="str">
        <f t="shared" si="19"/>
        <v>Liam Gardner-PERL</v>
      </c>
      <c r="J125">
        <f>IFERROR(_xlfn.XLOOKUP(C125,tbl_project_planner[Ref],tbl_project_planner[Actual],,0,),"")</f>
        <v>2</v>
      </c>
      <c r="K125" s="12" cm="1">
        <f t="array" ref="K125">IFERROR(_xlfn.XLOOKUP(C125,tbl_project_planner[Ref],IF(tbl_project_planner[Est]&gt;0,tbl_project_planner[Est],"-"),,0,),"")</f>
        <v>2</v>
      </c>
      <c r="L125" s="1">
        <f>IFERROR(_xlfn.XLOOKUP(C125,tbl_project_planner[Ref],tbl_project_planner[Start Date],,0,),"")</f>
        <v>45769</v>
      </c>
      <c r="M125" s="1">
        <f>IFERROR(_xlfn.XLOOKUP(C125,tbl_project_planner[Ref],tbl_project_planner[End Date],,0,),"")</f>
        <v>45770</v>
      </c>
      <c r="N125">
        <f>IFERROR(_xlfn.XLOOKUP(C125,tbl_project_planner[Ref],tbl_project_planner[Elapse],,0,),"")</f>
        <v>2</v>
      </c>
      <c r="O125">
        <f>IFERROR(_xlfn.XLOOKUP(C125,tbl_project_planner[Ref],tbl_project_planner[Holiday],,0,),"")</f>
        <v>0</v>
      </c>
      <c r="P125">
        <f>(_xlfn.XLOOKUP(tbl_AssignRole[[#This Row],[Assigned]],tbl_staff_list[Name],tbl_staff_list[Daily_Rate],0,0))</f>
        <v>30</v>
      </c>
      <c r="Q125">
        <f>IF(tbl_AssignRole[[#This Row],[Chk]]="N/A",0,tbl_AssignRole[[#This Row],[Actual]]*tbl_AssignRole[[#This Row],[Rate]])</f>
        <v>60</v>
      </c>
      <c r="R125">
        <f>IF(tbl_AssignRole[[#This Row],[Chk]]="N/A",0,tbl_AssignRole[[#This Row],[Est]]*tbl_AssignRole[[#This Row],[Rate]])</f>
        <v>60</v>
      </c>
      <c r="U125" t="str">
        <v>4.3.5</v>
      </c>
      <c r="V125" t="str">
        <v>5.1.1</v>
      </c>
    </row>
    <row r="126" spans="2:22" x14ac:dyDescent="0.25">
      <c r="B126" t="str">
        <f>IF(tbl_AssignRole[[#This Row],[Ref]]&lt;&gt;0,tbl_AssignRole[[#This Row],[Ref]],"N/A")</f>
        <v>5.1.1</v>
      </c>
      <c r="C126" s="140" t="str">
        <f>ProjectPlan!B74</f>
        <v>5.1.1</v>
      </c>
      <c r="D126" t="str">
        <f>IFERROR(_xlfn.XLOOKUP(C126,tbl_project_planner[Ref],tbl_project_planner[Project],,0,),"")</f>
        <v>Create a Stakeholder Report and Agree on a Go-Live Date</v>
      </c>
      <c r="E126" s="16">
        <f>IF(tbl_AssignRole[[#This Row],[Chk]]="N/A","N/A",IFERROR(_xlfn.XLOOKUP(tbl_AssignRole[[#This Row],[Ref]],tbl_project_planner[Ref],tbl_project_planner[Done%],,0,),""))</f>
        <v>0</v>
      </c>
      <c r="F126" t="str">
        <f>IF(E126&lt;&gt;"N/A",_xlfn.XLOOKUP(C126,tbl_project_planner[Ref],tbl_project_planner[Assigned To],,0,),"")</f>
        <v>Un-Assigned</v>
      </c>
      <c r="G126" t="str">
        <f>IF(E126&lt;&gt;"N/A",_xlfn.XLOOKUP(C126,tbl_project_planner[Ref],tbl_project_planner[Role],,0,),"")</f>
        <v>Un-Assigned Role</v>
      </c>
      <c r="H126" t="str">
        <f>IF(E126&lt;&gt;"N/A",_xlfn.XLOOKUP(Data!G126,tbl_roles[Roles],tbl_roles[Short Code],,0,),"")</f>
        <v>UNAS</v>
      </c>
      <c r="I126" t="str">
        <f t="shared" si="19"/>
        <v>Un-Assigned-UNAS</v>
      </c>
      <c r="J126">
        <f>IFERROR(_xlfn.XLOOKUP(C126,tbl_project_planner[Ref],tbl_project_planner[Actual],,0,),"")</f>
        <v>5</v>
      </c>
      <c r="K126" s="12" cm="1">
        <f t="array" ref="K126">IFERROR(_xlfn.XLOOKUP(C126,tbl_project_planner[Ref],IF(tbl_project_planner[Est]&gt;0,tbl_project_planner[Est],"-"),,0,),"")</f>
        <v>5</v>
      </c>
      <c r="L126" s="1">
        <f>IFERROR(_xlfn.XLOOKUP(C126,tbl_project_planner[Ref],tbl_project_planner[Start Date],,0,),"")</f>
        <v>45769</v>
      </c>
      <c r="M126" s="1">
        <f>IFERROR(_xlfn.XLOOKUP(C126,tbl_project_planner[Ref],tbl_project_planner[End Date],,0,),"")</f>
        <v>45775</v>
      </c>
      <c r="N126">
        <f>IFERROR(_xlfn.XLOOKUP(C126,tbl_project_planner[Ref],tbl_project_planner[Elapse],,0,),"")</f>
        <v>7</v>
      </c>
      <c r="O126">
        <f>IFERROR(_xlfn.XLOOKUP(C126,tbl_project_planner[Ref],tbl_project_planner[Holiday],,0,),"")</f>
        <v>0</v>
      </c>
      <c r="P126">
        <f>(_xlfn.XLOOKUP(tbl_AssignRole[[#This Row],[Assigned]],tbl_staff_list[Name],tbl_staff_list[Daily_Rate],0,0))</f>
        <v>10</v>
      </c>
      <c r="Q126">
        <f>IF(tbl_AssignRole[[#This Row],[Chk]]="N/A",0,tbl_AssignRole[[#This Row],[Actual]]*tbl_AssignRole[[#This Row],[Rate]])</f>
        <v>50</v>
      </c>
      <c r="R126">
        <f>IF(tbl_AssignRole[[#This Row],[Chk]]="N/A",0,tbl_AssignRole[[#This Row],[Est]]*tbl_AssignRole[[#This Row],[Rate]])</f>
        <v>50</v>
      </c>
      <c r="U126" t="str">
        <v>5.1.1</v>
      </c>
      <c r="V126" t="str">
        <v>5.1.2</v>
      </c>
    </row>
    <row r="127" spans="2:22" x14ac:dyDescent="0.25">
      <c r="B127" t="str">
        <f>IF(tbl_AssignRole[[#This Row],[Ref]]&lt;&gt;0,tbl_AssignRole[[#This Row],[Ref]],"N/A")</f>
        <v>5.1.2</v>
      </c>
      <c r="C127" s="140" t="str">
        <f>ProjectPlan!B75</f>
        <v>5.1.2</v>
      </c>
      <c r="D127" t="str">
        <f>IFERROR(_xlfn.XLOOKUP(C127,tbl_project_planner[Ref],tbl_project_planner[Project],,0,),"")</f>
        <v>Verify Environment Readiness for Go-Live</v>
      </c>
      <c r="E127" s="16">
        <f>IF(tbl_AssignRole[[#This Row],[Chk]]="N/A","N/A",IFERROR(_xlfn.XLOOKUP(tbl_AssignRole[[#This Row],[Ref]],tbl_project_planner[Ref],tbl_project_planner[Done%],,0,),""))</f>
        <v>0</v>
      </c>
      <c r="F127" t="str">
        <f>IF(E127&lt;&gt;"N/A",_xlfn.XLOOKUP(C127,tbl_project_planner[Ref],tbl_project_planner[Assigned To],,0,),"")</f>
        <v>Max Patel</v>
      </c>
      <c r="G127" t="str">
        <f>IF(E127&lt;&gt;"N/A",_xlfn.XLOOKUP(C127,tbl_project_planner[Ref],tbl_project_planner[Role],,0,),"")</f>
        <v>Server Developer</v>
      </c>
      <c r="H127" t="str">
        <f>IF(E127&lt;&gt;"N/A",_xlfn.XLOOKUP(Data!G127,tbl_roles[Roles],tbl_roles[Short Code],,0,),"")</f>
        <v>SERD</v>
      </c>
      <c r="I127" t="str">
        <f t="shared" si="19"/>
        <v>Max Patel-SERD</v>
      </c>
      <c r="J127">
        <f>IFERROR(_xlfn.XLOOKUP(C127,tbl_project_planner[Ref],tbl_project_planner[Actual],,0,),"")</f>
        <v>5</v>
      </c>
      <c r="K127" s="12" cm="1">
        <f t="array" ref="K127">IFERROR(_xlfn.XLOOKUP(C127,tbl_project_planner[Ref],IF(tbl_project_planner[Est]&gt;0,tbl_project_planner[Est],"-"),,0,),"")</f>
        <v>5</v>
      </c>
      <c r="L127" s="1">
        <f>IFERROR(_xlfn.XLOOKUP(C127,tbl_project_planner[Ref],tbl_project_planner[Start Date],,0,),"")</f>
        <v>45771</v>
      </c>
      <c r="M127" s="1">
        <f>IFERROR(_xlfn.XLOOKUP(C127,tbl_project_planner[Ref],tbl_project_planner[End Date],,0,),"")</f>
        <v>45777</v>
      </c>
      <c r="N127">
        <f>IFERROR(_xlfn.XLOOKUP(C127,tbl_project_planner[Ref],tbl_project_planner[Elapse],,0,),"")</f>
        <v>7</v>
      </c>
      <c r="O127">
        <f>IFERROR(_xlfn.XLOOKUP(C127,tbl_project_planner[Ref],tbl_project_planner[Holiday],,0,),"")</f>
        <v>0</v>
      </c>
      <c r="P127">
        <f>(_xlfn.XLOOKUP(tbl_AssignRole[[#This Row],[Assigned]],tbl_staff_list[Name],tbl_staff_list[Daily_Rate],0,0))</f>
        <v>30</v>
      </c>
      <c r="Q127">
        <f>IF(tbl_AssignRole[[#This Row],[Chk]]="N/A",0,tbl_AssignRole[[#This Row],[Actual]]*tbl_AssignRole[[#This Row],[Rate]])</f>
        <v>150</v>
      </c>
      <c r="R127">
        <f>IF(tbl_AssignRole[[#This Row],[Chk]]="N/A",0,tbl_AssignRole[[#This Row],[Est]]*tbl_AssignRole[[#This Row],[Rate]])</f>
        <v>150</v>
      </c>
      <c r="U127" t="str">
        <v>5.1.2</v>
      </c>
      <c r="V127" t="str">
        <v>5.1.3</v>
      </c>
    </row>
    <row r="128" spans="2:22" x14ac:dyDescent="0.25">
      <c r="B128" t="str">
        <f>IF(tbl_AssignRole[[#This Row],[Ref]]&lt;&gt;0,tbl_AssignRole[[#This Row],[Ref]],"N/A")</f>
        <v>5.1.3</v>
      </c>
      <c r="C128" s="140" t="str">
        <f>ProjectPlan!B76</f>
        <v>5.1.3</v>
      </c>
      <c r="D128" t="str">
        <f>IFERROR(_xlfn.XLOOKUP(C128,tbl_project_planner[Ref],tbl_project_planner[Project],,0,),"")</f>
        <v>Hand Over Production to Support</v>
      </c>
      <c r="E128" s="16">
        <f>IF(tbl_AssignRole[[#This Row],[Chk]]="N/A","N/A",IFERROR(_xlfn.XLOOKUP(tbl_AssignRole[[#This Row],[Ref]],tbl_project_planner[Ref],tbl_project_planner[Done%],,0,),""))</f>
        <v>0</v>
      </c>
      <c r="F128" t="str">
        <f>IF(E128&lt;&gt;"N/A",_xlfn.XLOOKUP(C128,tbl_project_planner[Ref],tbl_project_planner[Assigned To],,0,),"")</f>
        <v>Hannah Fletcher</v>
      </c>
      <c r="G128" t="str">
        <f>IF(E128&lt;&gt;"N/A",_xlfn.XLOOKUP(C128,tbl_project_planner[Ref],tbl_project_planner[Role],,0,),"")</f>
        <v>Technical Lead</v>
      </c>
      <c r="H128" t="str">
        <f>IF(E128&lt;&gt;"N/A",_xlfn.XLOOKUP(Data!G128,tbl_roles[Roles],tbl_roles[Short Code],,0,),"")</f>
        <v>TECL</v>
      </c>
      <c r="I128" t="str">
        <f t="shared" si="19"/>
        <v>Hannah Fletcher-TECL</v>
      </c>
      <c r="J128">
        <f>IFERROR(_xlfn.XLOOKUP(C128,tbl_project_planner[Ref],tbl_project_planner[Actual],,0,),"")</f>
        <v>5</v>
      </c>
      <c r="K128" s="12" cm="1">
        <f t="array" ref="K128">IFERROR(_xlfn.XLOOKUP(C128,tbl_project_planner[Ref],IF(tbl_project_planner[Est]&gt;0,tbl_project_planner[Est],"-"),,0,),"")</f>
        <v>5</v>
      </c>
      <c r="L128" s="1">
        <f>IFERROR(_xlfn.XLOOKUP(C128,tbl_project_planner[Ref],tbl_project_planner[Start Date],,0,),"")</f>
        <v>45771</v>
      </c>
      <c r="M128" s="1">
        <f>IFERROR(_xlfn.XLOOKUP(C128,tbl_project_planner[Ref],tbl_project_planner[End Date],,0,),"")</f>
        <v>45777</v>
      </c>
      <c r="N128">
        <f>IFERROR(_xlfn.XLOOKUP(C128,tbl_project_planner[Ref],tbl_project_planner[Elapse],,0,),"")</f>
        <v>7</v>
      </c>
      <c r="O128">
        <f>IFERROR(_xlfn.XLOOKUP(C128,tbl_project_planner[Ref],tbl_project_planner[Holiday],,0,),"")</f>
        <v>0</v>
      </c>
      <c r="P128">
        <f>(_xlfn.XLOOKUP(tbl_AssignRole[[#This Row],[Assigned]],tbl_staff_list[Name],tbl_staff_list[Daily_Rate],0,0))</f>
        <v>10</v>
      </c>
      <c r="Q128">
        <f>IF(tbl_AssignRole[[#This Row],[Chk]]="N/A",0,tbl_AssignRole[[#This Row],[Actual]]*tbl_AssignRole[[#This Row],[Rate]])</f>
        <v>50</v>
      </c>
      <c r="R128">
        <f>IF(tbl_AssignRole[[#This Row],[Chk]]="N/A",0,tbl_AssignRole[[#This Row],[Est]]*tbl_AssignRole[[#This Row],[Rate]])</f>
        <v>50</v>
      </c>
      <c r="U128" t="str">
        <v>5.1.3</v>
      </c>
      <c r="V128" t="str">
        <v>5.1.4</v>
      </c>
    </row>
    <row r="129" spans="2:21" x14ac:dyDescent="0.25">
      <c r="B129" t="str">
        <f>IF(tbl_AssignRole[[#This Row],[Ref]]&lt;&gt;0,tbl_AssignRole[[#This Row],[Ref]],"N/A")</f>
        <v>5.1.4</v>
      </c>
      <c r="C129" s="140" t="str">
        <f>ProjectPlan!B77</f>
        <v>5.1.4</v>
      </c>
      <c r="D129" t="str">
        <f>IFERROR(_xlfn.XLOOKUP(C129,tbl_project_planner[Ref],tbl_project_planner[Project],,0,),"")</f>
        <v>Conduct Post-Production Review and Project Retrospectives</v>
      </c>
      <c r="E129" s="16">
        <f>IF(tbl_AssignRole[[#This Row],[Chk]]="N/A","N/A",IFERROR(_xlfn.XLOOKUP(tbl_AssignRole[[#This Row],[Ref]],tbl_project_planner[Ref],tbl_project_planner[Done%],,0,),""))</f>
        <v>0</v>
      </c>
      <c r="F129" t="str">
        <f>IF(E129&lt;&gt;"N/A",_xlfn.XLOOKUP(C129,tbl_project_planner[Ref],tbl_project_planner[Assigned To],,0,),"")</f>
        <v>Clara Bennett</v>
      </c>
      <c r="G129" t="str">
        <f>IF(E129&lt;&gt;"N/A",_xlfn.XLOOKUP(C129,tbl_project_planner[Ref],tbl_project_planner[Role],,0,),"")</f>
        <v>Product Owner</v>
      </c>
      <c r="H129" t="str">
        <f>IF(E129&lt;&gt;"N/A",_xlfn.XLOOKUP(Data!G129,tbl_roles[Roles],tbl_roles[Short Code],,0,),"")</f>
        <v>PROD</v>
      </c>
      <c r="I129" t="str">
        <f t="shared" si="19"/>
        <v>Clara Bennett-PROD</v>
      </c>
      <c r="J129">
        <f>IFERROR(_xlfn.XLOOKUP(C129,tbl_project_planner[Ref],tbl_project_planner[Actual],,0,),"")</f>
        <v>5</v>
      </c>
      <c r="K129" s="12" cm="1">
        <f t="array" ref="K129">IFERROR(_xlfn.XLOOKUP(C129,tbl_project_planner[Ref],IF(tbl_project_planner[Est]&gt;0,tbl_project_planner[Est],"-"),,0,),"")</f>
        <v>5</v>
      </c>
      <c r="L129" s="1">
        <f>IFERROR(_xlfn.XLOOKUP(C129,tbl_project_planner[Ref],tbl_project_planner[Start Date],,0,),"")</f>
        <v>45778</v>
      </c>
      <c r="M129" s="1">
        <f>IFERROR(_xlfn.XLOOKUP(C129,tbl_project_planner[Ref],tbl_project_planner[End Date],,0,),"")</f>
        <v>45785</v>
      </c>
      <c r="N129">
        <f>IFERROR(_xlfn.XLOOKUP(C129,tbl_project_planner[Ref],tbl_project_planner[Elapse],,0,),"")</f>
        <v>8</v>
      </c>
      <c r="O129">
        <f>IFERROR(_xlfn.XLOOKUP(C129,tbl_project_planner[Ref],tbl_project_planner[Holiday],,0,),"")</f>
        <v>0</v>
      </c>
      <c r="P129">
        <f>(_xlfn.XLOOKUP(tbl_AssignRole[[#This Row],[Assigned]],tbl_staff_list[Name],tbl_staff_list[Daily_Rate],0,0))</f>
        <v>32</v>
      </c>
      <c r="Q129">
        <f>IF(tbl_AssignRole[[#This Row],[Chk]]="N/A",0,tbl_AssignRole[[#This Row],[Actual]]*tbl_AssignRole[[#This Row],[Rate]])</f>
        <v>160</v>
      </c>
      <c r="R129">
        <f>IF(tbl_AssignRole[[#This Row],[Chk]]="N/A",0,tbl_AssignRole[[#This Row],[Est]]*tbl_AssignRole[[#This Row],[Rate]])</f>
        <v>160</v>
      </c>
      <c r="U129" t="str">
        <v>5.1.4</v>
      </c>
    </row>
    <row r="130" spans="2:21" x14ac:dyDescent="0.25">
      <c r="B130" t="str">
        <f>IF(tbl_AssignRole[[#This Row],[Ref]]&lt;&gt;0,tbl_AssignRole[[#This Row],[Ref]],"N/A")</f>
        <v>N/A</v>
      </c>
      <c r="C130" s="140">
        <f>ProjectPlan!B78</f>
        <v>0</v>
      </c>
      <c r="D130" t="str">
        <f>IFERROR(_xlfn.XLOOKUP(C130,tbl_project_planner[Ref],tbl_project_planner[Project],,0,),"")</f>
        <v/>
      </c>
      <c r="E130" s="16" t="str">
        <f>IF(tbl_AssignRole[[#This Row],[Chk]]="N/A","N/A",IFERROR(_xlfn.XLOOKUP(tbl_AssignRole[[#This Row],[Ref]],tbl_project_planner[Ref],tbl_project_planner[Done%],,0,),""))</f>
        <v>N/A</v>
      </c>
      <c r="F130" t="str">
        <f>IF(E130&lt;&gt;"N/A",_xlfn.XLOOKUP(C130,tbl_project_planner[Ref],tbl_project_planner[Assigned To],,0,),"")</f>
        <v/>
      </c>
      <c r="G130" t="str">
        <f>IF(E130&lt;&gt;"N/A",_xlfn.XLOOKUP(C130,tbl_project_planner[Ref],tbl_project_planner[Role],,0,),"")</f>
        <v/>
      </c>
      <c r="H130" t="str">
        <f>IF(E130&lt;&gt;"N/A",_xlfn.XLOOKUP(Data!G130,tbl_roles[Roles],tbl_roles[Short Code],,0,),"")</f>
        <v/>
      </c>
      <c r="I130" t="str">
        <f t="shared" si="19"/>
        <v>-</v>
      </c>
      <c r="J130" t="str">
        <f>IFERROR(_xlfn.XLOOKUP(C130,tbl_project_planner[Ref],tbl_project_planner[Actual],,0,),"")</f>
        <v/>
      </c>
      <c r="K130" s="12" t="str" cm="1">
        <f t="array" ref="K130">IFERROR(_xlfn.XLOOKUP(C130,tbl_project_planner[Ref],IF(tbl_project_planner[Est]&gt;0,tbl_project_planner[Est],"-"),,0,),"")</f>
        <v/>
      </c>
      <c r="L130" s="1" t="str">
        <f>IFERROR(_xlfn.XLOOKUP(C130,tbl_project_planner[Ref],tbl_project_planner[Start Date],,0,),"")</f>
        <v/>
      </c>
      <c r="M130" s="1" t="str">
        <f>IFERROR(_xlfn.XLOOKUP(C130,tbl_project_planner[Ref],tbl_project_planner[End Date],,0,),"")</f>
        <v/>
      </c>
      <c r="N130" t="str">
        <f>IFERROR(_xlfn.XLOOKUP(C130,tbl_project_planner[Ref],tbl_project_planner[Elapse],,0,),"")</f>
        <v/>
      </c>
      <c r="O130" t="str">
        <f>IFERROR(_xlfn.XLOOKUP(C130,tbl_project_planner[Ref],tbl_project_planner[Holiday],,0,),"")</f>
        <v/>
      </c>
      <c r="P130">
        <f>(_xlfn.XLOOKUP(tbl_AssignRole[[#This Row],[Assigned]],tbl_staff_list[Name],tbl_staff_list[Daily_Rate],0,0))</f>
        <v>0</v>
      </c>
      <c r="Q130">
        <f>IF(tbl_AssignRole[[#This Row],[Chk]]="N/A",0,tbl_AssignRole[[#This Row],[Actual]]*tbl_AssignRole[[#This Row],[Rate]])</f>
        <v>0</v>
      </c>
      <c r="R130">
        <f>IF(tbl_AssignRole[[#This Row],[Chk]]="N/A",0,tbl_AssignRole[[#This Row],[Est]]*tbl_AssignRole[[#This Row],[Rate]])</f>
        <v>0</v>
      </c>
    </row>
    <row r="131" spans="2:21" x14ac:dyDescent="0.25">
      <c r="B131" t="str">
        <f>IF(tbl_AssignRole[[#This Row],[Ref]]&lt;&gt;0,tbl_AssignRole[[#This Row],[Ref]],"N/A")</f>
        <v>N/A</v>
      </c>
      <c r="C131" s="140">
        <f>ProjectPlan!B81</f>
        <v>0</v>
      </c>
      <c r="D131" t="str">
        <f>IFERROR(_xlfn.XLOOKUP(C131,tbl_project_planner[Ref],tbl_project_planner[Project],,0,),"")</f>
        <v/>
      </c>
      <c r="E131" s="16" t="str">
        <f>IF(tbl_AssignRole[[#This Row],[Chk]]="N/A","N/A",IFERROR(_xlfn.XLOOKUP(tbl_AssignRole[[#This Row],[Ref]],tbl_project_planner[Ref],tbl_project_planner[Done%],,0,),""))</f>
        <v>N/A</v>
      </c>
      <c r="F131" t="str">
        <f>IF(E131&lt;&gt;"N/A",_xlfn.XLOOKUP(C131,tbl_project_planner[Ref],tbl_project_planner[Assigned To],,0,),"")</f>
        <v/>
      </c>
      <c r="G131" t="str">
        <f>IF(E131&lt;&gt;"N/A",_xlfn.XLOOKUP(C131,tbl_project_planner[Ref],tbl_project_planner[Role],,0,),"")</f>
        <v/>
      </c>
      <c r="H131" t="str">
        <f>IF(E131&lt;&gt;"N/A",_xlfn.XLOOKUP(Data!G131,tbl_roles[Roles],tbl_roles[Short Code],,0,),"")</f>
        <v/>
      </c>
      <c r="I131" t="str">
        <f t="shared" si="19"/>
        <v>-</v>
      </c>
      <c r="J131" t="str">
        <f>IFERROR(_xlfn.XLOOKUP(C131,tbl_project_planner[Ref],tbl_project_planner[Actual],,0,),"")</f>
        <v/>
      </c>
      <c r="K131" s="12" t="str" cm="1">
        <f t="array" ref="K131">IFERROR(_xlfn.XLOOKUP(C131,tbl_project_planner[Ref],IF(tbl_project_planner[Est]&gt;0,tbl_project_planner[Est],"-"),,0,),"")</f>
        <v/>
      </c>
      <c r="L131" s="1" t="str">
        <f>IFERROR(_xlfn.XLOOKUP(C131,tbl_project_planner[Ref],tbl_project_planner[Start Date],,0,),"")</f>
        <v/>
      </c>
      <c r="M131" s="1" t="str">
        <f>IFERROR(_xlfn.XLOOKUP(C131,tbl_project_planner[Ref],tbl_project_planner[End Date],,0,),"")</f>
        <v/>
      </c>
      <c r="N131" t="str">
        <f>IFERROR(_xlfn.XLOOKUP(C131,tbl_project_planner[Ref],tbl_project_planner[Elapse],,0,),"")</f>
        <v/>
      </c>
      <c r="O131" t="str">
        <f>IFERROR(_xlfn.XLOOKUP(C131,tbl_project_planner[Ref],tbl_project_planner[Holiday],,0,),"")</f>
        <v/>
      </c>
      <c r="P131">
        <f>(_xlfn.XLOOKUP(tbl_AssignRole[[#This Row],[Assigned]],tbl_staff_list[Name],tbl_staff_list[Daily_Rate],0,0))</f>
        <v>0</v>
      </c>
      <c r="Q131">
        <f>IF(tbl_AssignRole[[#This Row],[Chk]]="N/A",0,tbl_AssignRole[[#This Row],[Actual]]*tbl_AssignRole[[#This Row],[Rate]])</f>
        <v>0</v>
      </c>
      <c r="R131">
        <f>IF(tbl_AssignRole[[#This Row],[Chk]]="N/A",0,tbl_AssignRole[[#This Row],[Est]]*tbl_AssignRole[[#This Row],[Rate]])</f>
        <v>0</v>
      </c>
    </row>
    <row r="132" spans="2:21" x14ac:dyDescent="0.25">
      <c r="B132" t="str">
        <f>IF(tbl_AssignRole[[#This Row],[Ref]]&lt;&gt;0,tbl_AssignRole[[#This Row],[Ref]],"N/A")</f>
        <v>N/A</v>
      </c>
      <c r="C132" s="140">
        <f>ProjectPlan!B82</f>
        <v>0</v>
      </c>
      <c r="D132" t="str">
        <f>IFERROR(_xlfn.XLOOKUP(C132,tbl_project_planner[Ref],tbl_project_planner[Project],,0,),"")</f>
        <v/>
      </c>
      <c r="E132" s="16" t="str">
        <f>IF(tbl_AssignRole[[#This Row],[Chk]]="N/A","N/A",IFERROR(_xlfn.XLOOKUP(tbl_AssignRole[[#This Row],[Ref]],tbl_project_planner[Ref],tbl_project_planner[Done%],,0,),""))</f>
        <v>N/A</v>
      </c>
      <c r="F132" t="str">
        <f>IF(E132&lt;&gt;"N/A",_xlfn.XLOOKUP(C132,tbl_project_planner[Ref],tbl_project_planner[Assigned To],,0,),"")</f>
        <v/>
      </c>
      <c r="G132" t="str">
        <f>IF(E132&lt;&gt;"N/A",_xlfn.XLOOKUP(C132,tbl_project_planner[Ref],tbl_project_planner[Role],,0,),"")</f>
        <v/>
      </c>
      <c r="H132" t="str">
        <f>IF(E132&lt;&gt;"N/A",_xlfn.XLOOKUP(Data!G132,tbl_roles[Roles],tbl_roles[Short Code],,0,),"")</f>
        <v/>
      </c>
      <c r="I132" t="str">
        <f t="shared" si="19"/>
        <v>-</v>
      </c>
      <c r="J132" t="str">
        <f>IFERROR(_xlfn.XLOOKUP(C132,tbl_project_planner[Ref],tbl_project_planner[Actual],,0,),"")</f>
        <v/>
      </c>
      <c r="K132" s="12" t="str" cm="1">
        <f t="array" ref="K132">IFERROR(_xlfn.XLOOKUP(C132,tbl_project_planner[Ref],IF(tbl_project_planner[Est]&gt;0,tbl_project_planner[Est],"-"),,0,),"")</f>
        <v/>
      </c>
      <c r="L132" s="1" t="str">
        <f>IFERROR(_xlfn.XLOOKUP(C132,tbl_project_planner[Ref],tbl_project_planner[Start Date],,0,),"")</f>
        <v/>
      </c>
      <c r="M132" s="1" t="str">
        <f>IFERROR(_xlfn.XLOOKUP(C132,tbl_project_planner[Ref],tbl_project_planner[End Date],,0,),"")</f>
        <v/>
      </c>
      <c r="N132" t="str">
        <f>IFERROR(_xlfn.XLOOKUP(C132,tbl_project_planner[Ref],tbl_project_planner[Elapse],,0,),"")</f>
        <v/>
      </c>
      <c r="O132" t="str">
        <f>IFERROR(_xlfn.XLOOKUP(C132,tbl_project_planner[Ref],tbl_project_planner[Holiday],,0,),"")</f>
        <v/>
      </c>
      <c r="P132">
        <f>(_xlfn.XLOOKUP(tbl_AssignRole[[#This Row],[Assigned]],tbl_staff_list[Name],tbl_staff_list[Daily_Rate],0,0))</f>
        <v>0</v>
      </c>
      <c r="Q132">
        <f>IF(tbl_AssignRole[[#This Row],[Chk]]="N/A",0,tbl_AssignRole[[#This Row],[Actual]]*tbl_AssignRole[[#This Row],[Rate]])</f>
        <v>0</v>
      </c>
      <c r="R132">
        <f>IF(tbl_AssignRole[[#This Row],[Chk]]="N/A",0,tbl_AssignRole[[#This Row],[Est]]*tbl_AssignRole[[#This Row],[Rate]])</f>
        <v>0</v>
      </c>
    </row>
    <row r="133" spans="2:21" x14ac:dyDescent="0.25">
      <c r="B133" t="str">
        <f>IF(tbl_AssignRole[[#This Row],[Ref]]&lt;&gt;0,tbl_AssignRole[[#This Row],[Ref]],"N/A")</f>
        <v>N/A</v>
      </c>
      <c r="C133" s="140">
        <f>ProjectPlan!B83</f>
        <v>0</v>
      </c>
      <c r="D133" t="str">
        <f>IFERROR(_xlfn.XLOOKUP(C133,tbl_project_planner[Ref],tbl_project_planner[Project],,0,),"")</f>
        <v/>
      </c>
      <c r="E133" s="16" t="str">
        <f>IF(tbl_AssignRole[[#This Row],[Chk]]="N/A","N/A",IFERROR(_xlfn.XLOOKUP(tbl_AssignRole[[#This Row],[Ref]],tbl_project_planner[Ref],tbl_project_planner[Done%],,0,),""))</f>
        <v>N/A</v>
      </c>
      <c r="F133" t="str">
        <f>IF(E133&lt;&gt;"N/A",_xlfn.XLOOKUP(C133,tbl_project_planner[Ref],tbl_project_planner[Assigned To],,0,),"")</f>
        <v/>
      </c>
      <c r="G133" t="str">
        <f>IF(E133&lt;&gt;"N/A",_xlfn.XLOOKUP(C133,tbl_project_planner[Ref],tbl_project_planner[Role],,0,),"")</f>
        <v/>
      </c>
      <c r="H133" t="str">
        <f>IF(E133&lt;&gt;"N/A",_xlfn.XLOOKUP(Data!G133,tbl_roles[Roles],tbl_roles[Short Code],,0,),"")</f>
        <v/>
      </c>
      <c r="I133" t="str">
        <f t="shared" si="19"/>
        <v>-</v>
      </c>
      <c r="J133" t="str">
        <f>IFERROR(_xlfn.XLOOKUP(C133,tbl_project_planner[Ref],tbl_project_planner[Actual],,0,),"")</f>
        <v/>
      </c>
      <c r="K133" s="12" t="str" cm="1">
        <f t="array" ref="K133">IFERROR(_xlfn.XLOOKUP(C133,tbl_project_planner[Ref],IF(tbl_project_planner[Est]&gt;0,tbl_project_planner[Est],"-"),,0,),"")</f>
        <v/>
      </c>
      <c r="L133" s="1" t="str">
        <f>IFERROR(_xlfn.XLOOKUP(C133,tbl_project_planner[Ref],tbl_project_planner[Start Date],,0,),"")</f>
        <v/>
      </c>
      <c r="M133" s="1" t="str">
        <f>IFERROR(_xlfn.XLOOKUP(C133,tbl_project_planner[Ref],tbl_project_planner[End Date],,0,),"")</f>
        <v/>
      </c>
      <c r="N133" t="str">
        <f>IFERROR(_xlfn.XLOOKUP(C133,tbl_project_planner[Ref],tbl_project_planner[Elapse],,0,),"")</f>
        <v/>
      </c>
      <c r="O133" t="str">
        <f>IFERROR(_xlfn.XLOOKUP(C133,tbl_project_planner[Ref],tbl_project_planner[Holiday],,0,),"")</f>
        <v/>
      </c>
      <c r="P133">
        <f>(_xlfn.XLOOKUP(tbl_AssignRole[[#This Row],[Assigned]],tbl_staff_list[Name],tbl_staff_list[Daily_Rate],0,0))</f>
        <v>0</v>
      </c>
      <c r="Q133">
        <f>IF(tbl_AssignRole[[#This Row],[Chk]]="N/A",0,tbl_AssignRole[[#This Row],[Actual]]*tbl_AssignRole[[#This Row],[Rate]])</f>
        <v>0</v>
      </c>
      <c r="R133">
        <f>IF(tbl_AssignRole[[#This Row],[Chk]]="N/A",0,tbl_AssignRole[[#This Row],[Est]]*tbl_AssignRole[[#This Row],[Rate]])</f>
        <v>0</v>
      </c>
    </row>
    <row r="134" spans="2:21" x14ac:dyDescent="0.25">
      <c r="B134" t="str">
        <f>IF(tbl_AssignRole[[#This Row],[Ref]]&lt;&gt;0,tbl_AssignRole[[#This Row],[Ref]],"N/A")</f>
        <v>N/A</v>
      </c>
      <c r="C134" s="140">
        <f>ProjectPlan!B84</f>
        <v>0</v>
      </c>
      <c r="D134" t="str">
        <f>IFERROR(_xlfn.XLOOKUP(C134,tbl_project_planner[Ref],tbl_project_planner[Project],,0,),"")</f>
        <v/>
      </c>
      <c r="E134" s="16" t="str">
        <f>IF(tbl_AssignRole[[#This Row],[Chk]]="N/A","N/A",IFERROR(_xlfn.XLOOKUP(tbl_AssignRole[[#This Row],[Ref]],tbl_project_planner[Ref],tbl_project_planner[Done%],,0,),""))</f>
        <v>N/A</v>
      </c>
      <c r="F134" t="str">
        <f>IF(E134&lt;&gt;"N/A",_xlfn.XLOOKUP(C134,tbl_project_planner[Ref],tbl_project_planner[Assigned To],,0,),"")</f>
        <v/>
      </c>
      <c r="G134" t="str">
        <f>IF(E134&lt;&gt;"N/A",_xlfn.XLOOKUP(C134,tbl_project_planner[Ref],tbl_project_planner[Role],,0,),"")</f>
        <v/>
      </c>
      <c r="H134" t="str">
        <f>IF(E134&lt;&gt;"N/A",_xlfn.XLOOKUP(Data!G134,tbl_roles[Roles],tbl_roles[Short Code],,0,),"")</f>
        <v/>
      </c>
      <c r="I134" t="str">
        <f t="shared" si="19"/>
        <v>-</v>
      </c>
      <c r="J134" t="str">
        <f>IFERROR(_xlfn.XLOOKUP(C134,tbl_project_planner[Ref],tbl_project_planner[Actual],,0,),"")</f>
        <v/>
      </c>
      <c r="K134" s="12" t="str" cm="1">
        <f t="array" ref="K134">IFERROR(_xlfn.XLOOKUP(C134,tbl_project_planner[Ref],IF(tbl_project_planner[Est]&gt;0,tbl_project_planner[Est],"-"),,0,),"")</f>
        <v/>
      </c>
      <c r="L134" s="1" t="str">
        <f>IFERROR(_xlfn.XLOOKUP(C134,tbl_project_planner[Ref],tbl_project_planner[Start Date],,0,),"")</f>
        <v/>
      </c>
      <c r="M134" s="1" t="str">
        <f>IFERROR(_xlfn.XLOOKUP(C134,tbl_project_planner[Ref],tbl_project_planner[End Date],,0,),"")</f>
        <v/>
      </c>
      <c r="N134" t="str">
        <f>IFERROR(_xlfn.XLOOKUP(C134,tbl_project_planner[Ref],tbl_project_planner[Elapse],,0,),"")</f>
        <v/>
      </c>
      <c r="O134" t="str">
        <f>IFERROR(_xlfn.XLOOKUP(C134,tbl_project_planner[Ref],tbl_project_planner[Holiday],,0,),"")</f>
        <v/>
      </c>
      <c r="P134">
        <f>(_xlfn.XLOOKUP(tbl_AssignRole[[#This Row],[Assigned]],tbl_staff_list[Name],tbl_staff_list[Daily_Rate],0,0))</f>
        <v>0</v>
      </c>
      <c r="Q134">
        <f>IF(tbl_AssignRole[[#This Row],[Chk]]="N/A",0,tbl_AssignRole[[#This Row],[Actual]]*tbl_AssignRole[[#This Row],[Rate]])</f>
        <v>0</v>
      </c>
      <c r="R134">
        <f>IF(tbl_AssignRole[[#This Row],[Chk]]="N/A",0,tbl_AssignRole[[#This Row],[Est]]*tbl_AssignRole[[#This Row],[Rate]])</f>
        <v>0</v>
      </c>
    </row>
    <row r="135" spans="2:21" x14ac:dyDescent="0.25">
      <c r="B135" t="str">
        <f>IF(tbl_AssignRole[[#This Row],[Ref]]&lt;&gt;0,tbl_AssignRole[[#This Row],[Ref]],"N/A")</f>
        <v>N/A</v>
      </c>
      <c r="C135" s="140">
        <f>ProjectPlan!B85</f>
        <v>0</v>
      </c>
      <c r="D135" t="str">
        <f>IFERROR(_xlfn.XLOOKUP(C135,tbl_project_planner[Ref],tbl_project_planner[Project],,0,),"")</f>
        <v/>
      </c>
      <c r="E135" s="16" t="str">
        <f>IF(tbl_AssignRole[[#This Row],[Chk]]="N/A","N/A",IFERROR(_xlfn.XLOOKUP(tbl_AssignRole[[#This Row],[Ref]],tbl_project_planner[Ref],tbl_project_planner[Done%],,0,),""))</f>
        <v>N/A</v>
      </c>
      <c r="F135" t="str">
        <f>IF(E135&lt;&gt;"N/A",_xlfn.XLOOKUP(C135,tbl_project_planner[Ref],tbl_project_planner[Assigned To],,0,),"")</f>
        <v/>
      </c>
      <c r="G135" t="str">
        <f>IF(E135&lt;&gt;"N/A",_xlfn.XLOOKUP(C135,tbl_project_planner[Ref],tbl_project_planner[Role],,0,),"")</f>
        <v/>
      </c>
      <c r="H135" t="str">
        <f>IF(E135&lt;&gt;"N/A",_xlfn.XLOOKUP(Data!G135,tbl_roles[Roles],tbl_roles[Short Code],,0,),"")</f>
        <v/>
      </c>
      <c r="I135" t="str">
        <f t="shared" si="19"/>
        <v>-</v>
      </c>
      <c r="J135" t="str">
        <f>IFERROR(_xlfn.XLOOKUP(C135,tbl_project_planner[Ref],tbl_project_planner[Actual],,0,),"")</f>
        <v/>
      </c>
      <c r="K135" s="12" t="str" cm="1">
        <f t="array" ref="K135">IFERROR(_xlfn.XLOOKUP(C135,tbl_project_planner[Ref],IF(tbl_project_planner[Est]&gt;0,tbl_project_planner[Est],"-"),,0,),"")</f>
        <v/>
      </c>
      <c r="L135" s="1" t="str">
        <f>IFERROR(_xlfn.XLOOKUP(C135,tbl_project_planner[Ref],tbl_project_planner[Start Date],,0,),"")</f>
        <v/>
      </c>
      <c r="M135" s="1" t="str">
        <f>IFERROR(_xlfn.XLOOKUP(C135,tbl_project_planner[Ref],tbl_project_planner[End Date],,0,),"")</f>
        <v/>
      </c>
      <c r="N135" t="str">
        <f>IFERROR(_xlfn.XLOOKUP(C135,tbl_project_planner[Ref],tbl_project_planner[Elapse],,0,),"")</f>
        <v/>
      </c>
      <c r="O135" t="str">
        <f>IFERROR(_xlfn.XLOOKUP(C135,tbl_project_planner[Ref],tbl_project_planner[Holiday],,0,),"")</f>
        <v/>
      </c>
      <c r="P135">
        <f>(_xlfn.XLOOKUP(tbl_AssignRole[[#This Row],[Assigned]],tbl_staff_list[Name],tbl_staff_list[Daily_Rate],0,0))</f>
        <v>0</v>
      </c>
      <c r="Q135">
        <f>IF(tbl_AssignRole[[#This Row],[Chk]]="N/A",0,tbl_AssignRole[[#This Row],[Actual]]*tbl_AssignRole[[#This Row],[Rate]])</f>
        <v>0</v>
      </c>
      <c r="R135">
        <f>IF(tbl_AssignRole[[#This Row],[Chk]]="N/A",0,tbl_AssignRole[[#This Row],[Est]]*tbl_AssignRole[[#This Row],[Rate]])</f>
        <v>0</v>
      </c>
    </row>
    <row r="136" spans="2:21" x14ac:dyDescent="0.25">
      <c r="B136" t="str">
        <f>IF(tbl_AssignRole[[#This Row],[Ref]]&lt;&gt;0,tbl_AssignRole[[#This Row],[Ref]],"N/A")</f>
        <v>N/A</v>
      </c>
      <c r="C136" s="140">
        <f>ProjectPlan!B88</f>
        <v>0</v>
      </c>
      <c r="D136" t="str">
        <f>IFERROR(_xlfn.XLOOKUP(C136,tbl_project_planner[Ref],tbl_project_planner[Project],,0,),"")</f>
        <v/>
      </c>
      <c r="E136" s="16" t="str">
        <f>IF(tbl_AssignRole[[#This Row],[Chk]]="N/A","N/A",IFERROR(_xlfn.XLOOKUP(tbl_AssignRole[[#This Row],[Ref]],tbl_project_planner[Ref],tbl_project_planner[Done%],,0,),""))</f>
        <v>N/A</v>
      </c>
      <c r="F136" t="str">
        <f>IF(E136&lt;&gt;"N/A",_xlfn.XLOOKUP(C136,tbl_project_planner[Ref],tbl_project_planner[Assigned To],,0,),"")</f>
        <v/>
      </c>
      <c r="G136" t="str">
        <f>IF(E136&lt;&gt;"N/A",_xlfn.XLOOKUP(C136,tbl_project_planner[Ref],tbl_project_planner[Role],,0,),"")</f>
        <v/>
      </c>
      <c r="H136" t="str">
        <f>IF(E136&lt;&gt;"N/A",_xlfn.XLOOKUP(Data!G136,tbl_roles[Roles],tbl_roles[Short Code],,0,),"")</f>
        <v/>
      </c>
      <c r="I136" t="str">
        <f t="shared" si="19"/>
        <v>-</v>
      </c>
      <c r="J136" t="str">
        <f>IFERROR(_xlfn.XLOOKUP(C136,tbl_project_planner[Ref],tbl_project_planner[Actual],,0,),"")</f>
        <v/>
      </c>
      <c r="K136" s="12" t="str" cm="1">
        <f t="array" ref="K136">IFERROR(_xlfn.XLOOKUP(C136,tbl_project_planner[Ref],IF(tbl_project_planner[Est]&gt;0,tbl_project_planner[Est],"-"),,0,),"")</f>
        <v/>
      </c>
      <c r="L136" s="1" t="str">
        <f>IFERROR(_xlfn.XLOOKUP(C136,tbl_project_planner[Ref],tbl_project_planner[Start Date],,0,),"")</f>
        <v/>
      </c>
      <c r="M136" s="1" t="str">
        <f>IFERROR(_xlfn.XLOOKUP(C136,tbl_project_planner[Ref],tbl_project_planner[End Date],,0,),"")</f>
        <v/>
      </c>
      <c r="N136" t="str">
        <f>IFERROR(_xlfn.XLOOKUP(C136,tbl_project_planner[Ref],tbl_project_planner[Elapse],,0,),"")</f>
        <v/>
      </c>
      <c r="O136" t="str">
        <f>IFERROR(_xlfn.XLOOKUP(C136,tbl_project_planner[Ref],tbl_project_planner[Holiday],,0,),"")</f>
        <v/>
      </c>
      <c r="P136">
        <f>(_xlfn.XLOOKUP(tbl_AssignRole[[#This Row],[Assigned]],tbl_staff_list[Name],tbl_staff_list[Daily_Rate],0,0))</f>
        <v>0</v>
      </c>
      <c r="Q136">
        <f>IF(tbl_AssignRole[[#This Row],[Chk]]="N/A",0,tbl_AssignRole[[#This Row],[Actual]]*tbl_AssignRole[[#This Row],[Rate]])</f>
        <v>0</v>
      </c>
      <c r="R136">
        <f>IF(tbl_AssignRole[[#This Row],[Chk]]="N/A",0,tbl_AssignRole[[#This Row],[Est]]*tbl_AssignRole[[#This Row],[Rate]])</f>
        <v>0</v>
      </c>
    </row>
    <row r="137" spans="2:21" x14ac:dyDescent="0.25">
      <c r="B137" t="str">
        <f>IF(tbl_AssignRole[[#This Row],[Ref]]&lt;&gt;0,tbl_AssignRole[[#This Row],[Ref]],"N/A")</f>
        <v>N/A</v>
      </c>
      <c r="C137" s="140">
        <f>ProjectPlan!B89</f>
        <v>0</v>
      </c>
      <c r="D137" t="str">
        <f>IFERROR(_xlfn.XLOOKUP(C137,tbl_project_planner[Ref],tbl_project_planner[Project],,0,),"")</f>
        <v/>
      </c>
      <c r="E137" s="16" t="str">
        <f>IF(tbl_AssignRole[[#This Row],[Chk]]="N/A","N/A",IFERROR(_xlfn.XLOOKUP(tbl_AssignRole[[#This Row],[Ref]],tbl_project_planner[Ref],tbl_project_planner[Done%],,0,),""))</f>
        <v>N/A</v>
      </c>
      <c r="F137" t="str">
        <f>IF(E137&lt;&gt;"N/A",_xlfn.XLOOKUP(C137,tbl_project_planner[Ref],tbl_project_planner[Assigned To],,0,),"")</f>
        <v/>
      </c>
      <c r="G137" t="str">
        <f>IF(E137&lt;&gt;"N/A",_xlfn.XLOOKUP(C137,tbl_project_planner[Ref],tbl_project_planner[Role],,0,),"")</f>
        <v/>
      </c>
      <c r="H137" t="str">
        <f>IF(E137&lt;&gt;"N/A",_xlfn.XLOOKUP(Data!G137,tbl_roles[Roles],tbl_roles[Short Code],,0,),"")</f>
        <v/>
      </c>
      <c r="I137" t="str">
        <f t="shared" si="19"/>
        <v>-</v>
      </c>
      <c r="J137" t="str">
        <f>IFERROR(_xlfn.XLOOKUP(C137,tbl_project_planner[Ref],tbl_project_planner[Actual],,0,),"")</f>
        <v/>
      </c>
      <c r="K137" s="12" t="str" cm="1">
        <f t="array" ref="K137">IFERROR(_xlfn.XLOOKUP(C137,tbl_project_planner[Ref],IF(tbl_project_planner[Est]&gt;0,tbl_project_planner[Est],"-"),,0,),"")</f>
        <v/>
      </c>
      <c r="L137" s="1" t="str">
        <f>IFERROR(_xlfn.XLOOKUP(C137,tbl_project_planner[Ref],tbl_project_planner[Start Date],,0,),"")</f>
        <v/>
      </c>
      <c r="M137" s="1" t="str">
        <f>IFERROR(_xlfn.XLOOKUP(C137,tbl_project_planner[Ref],tbl_project_planner[End Date],,0,),"")</f>
        <v/>
      </c>
      <c r="N137" t="str">
        <f>IFERROR(_xlfn.XLOOKUP(C137,tbl_project_planner[Ref],tbl_project_planner[Elapse],,0,),"")</f>
        <v/>
      </c>
      <c r="O137" t="str">
        <f>IFERROR(_xlfn.XLOOKUP(C137,tbl_project_planner[Ref],tbl_project_planner[Holiday],,0,),"")</f>
        <v/>
      </c>
      <c r="P137">
        <f>(_xlfn.XLOOKUP(tbl_AssignRole[[#This Row],[Assigned]],tbl_staff_list[Name],tbl_staff_list[Daily_Rate],0,0))</f>
        <v>0</v>
      </c>
      <c r="Q137">
        <f>IF(tbl_AssignRole[[#This Row],[Chk]]="N/A",0,tbl_AssignRole[[#This Row],[Actual]]*tbl_AssignRole[[#This Row],[Rate]])</f>
        <v>0</v>
      </c>
      <c r="R137">
        <f>IF(tbl_AssignRole[[#This Row],[Chk]]="N/A",0,tbl_AssignRole[[#This Row],[Est]]*tbl_AssignRole[[#This Row],[Rate]])</f>
        <v>0</v>
      </c>
    </row>
    <row r="138" spans="2:21" x14ac:dyDescent="0.25">
      <c r="B138" t="str">
        <f>IF(tbl_AssignRole[[#This Row],[Ref]]&lt;&gt;0,tbl_AssignRole[[#This Row],[Ref]],"N/A")</f>
        <v>N/A</v>
      </c>
      <c r="C138" s="140">
        <f>ProjectPlan!B90</f>
        <v>0</v>
      </c>
      <c r="D138" t="str">
        <f>IFERROR(_xlfn.XLOOKUP(C138,tbl_project_planner[Ref],tbl_project_planner[Project],,0,),"")</f>
        <v/>
      </c>
      <c r="E138" s="16" t="str">
        <f>IF(tbl_AssignRole[[#This Row],[Chk]]="N/A","N/A",IFERROR(_xlfn.XLOOKUP(tbl_AssignRole[[#This Row],[Ref]],tbl_project_planner[Ref],tbl_project_planner[Done%],,0,),""))</f>
        <v>N/A</v>
      </c>
      <c r="F138" t="str">
        <f>IF(E138&lt;&gt;"N/A",_xlfn.XLOOKUP(C138,tbl_project_planner[Ref],tbl_project_planner[Assigned To],,0,),"")</f>
        <v/>
      </c>
      <c r="G138" t="str">
        <f>IF(E138&lt;&gt;"N/A",_xlfn.XLOOKUP(C138,tbl_project_planner[Ref],tbl_project_planner[Role],,0,),"")</f>
        <v/>
      </c>
      <c r="H138" t="str">
        <f>IF(E138&lt;&gt;"N/A",_xlfn.XLOOKUP(Data!G138,tbl_roles[Roles],tbl_roles[Short Code],,0,),"")</f>
        <v/>
      </c>
      <c r="I138" t="str">
        <f t="shared" si="19"/>
        <v>-</v>
      </c>
      <c r="J138" t="str">
        <f>IFERROR(_xlfn.XLOOKUP(C138,tbl_project_planner[Ref],tbl_project_planner[Actual],,0,),"")</f>
        <v/>
      </c>
      <c r="K138" s="12" t="str" cm="1">
        <f t="array" ref="K138">IFERROR(_xlfn.XLOOKUP(C138,tbl_project_planner[Ref],IF(tbl_project_planner[Est]&gt;0,tbl_project_planner[Est],"-"),,0,),"")</f>
        <v/>
      </c>
      <c r="L138" s="1" t="str">
        <f>IFERROR(_xlfn.XLOOKUP(C138,tbl_project_planner[Ref],tbl_project_planner[Start Date],,0,),"")</f>
        <v/>
      </c>
      <c r="M138" s="1" t="str">
        <f>IFERROR(_xlfn.XLOOKUP(C138,tbl_project_planner[Ref],tbl_project_planner[End Date],,0,),"")</f>
        <v/>
      </c>
      <c r="N138" t="str">
        <f>IFERROR(_xlfn.XLOOKUP(C138,tbl_project_planner[Ref],tbl_project_planner[Elapse],,0,),"")</f>
        <v/>
      </c>
      <c r="O138" t="str">
        <f>IFERROR(_xlfn.XLOOKUP(C138,tbl_project_planner[Ref],tbl_project_planner[Holiday],,0,),"")</f>
        <v/>
      </c>
      <c r="P138">
        <f>(_xlfn.XLOOKUP(tbl_AssignRole[[#This Row],[Assigned]],tbl_staff_list[Name],tbl_staff_list[Daily_Rate],0,0))</f>
        <v>0</v>
      </c>
      <c r="Q138">
        <f>IF(tbl_AssignRole[[#This Row],[Chk]]="N/A",0,tbl_AssignRole[[#This Row],[Actual]]*tbl_AssignRole[[#This Row],[Rate]])</f>
        <v>0</v>
      </c>
      <c r="R138">
        <f>IF(tbl_AssignRole[[#This Row],[Chk]]="N/A",0,tbl_AssignRole[[#This Row],[Est]]*tbl_AssignRole[[#This Row],[Rate]])</f>
        <v>0</v>
      </c>
    </row>
    <row r="139" spans="2:21" x14ac:dyDescent="0.25">
      <c r="B139" t="str">
        <f>IF(tbl_AssignRole[[#This Row],[Ref]]&lt;&gt;0,tbl_AssignRole[[#This Row],[Ref]],"N/A")</f>
        <v>N/A</v>
      </c>
      <c r="C139" s="140">
        <f>ProjectPlan!B91</f>
        <v>0</v>
      </c>
      <c r="D139" t="str">
        <f>IFERROR(_xlfn.XLOOKUP(C139,tbl_project_planner[Ref],tbl_project_planner[Project],,0,),"")</f>
        <v/>
      </c>
      <c r="E139" s="16" t="str">
        <f>IF(tbl_AssignRole[[#This Row],[Chk]]="N/A","N/A",IFERROR(_xlfn.XLOOKUP(tbl_AssignRole[[#This Row],[Ref]],tbl_project_planner[Ref],tbl_project_planner[Done%],,0,),""))</f>
        <v>N/A</v>
      </c>
      <c r="F139" t="str">
        <f>IF(E139&lt;&gt;"N/A",_xlfn.XLOOKUP(C139,tbl_project_planner[Ref],tbl_project_planner[Assigned To],,0,),"")</f>
        <v/>
      </c>
      <c r="G139" t="str">
        <f>IF(E139&lt;&gt;"N/A",_xlfn.XLOOKUP(C139,tbl_project_planner[Ref],tbl_project_planner[Role],,0,),"")</f>
        <v/>
      </c>
      <c r="H139" t="str">
        <f>IF(E139&lt;&gt;"N/A",_xlfn.XLOOKUP(Data!G139,tbl_roles[Roles],tbl_roles[Short Code],,0,),"")</f>
        <v/>
      </c>
      <c r="I139" t="str">
        <f t="shared" si="19"/>
        <v>-</v>
      </c>
      <c r="J139" t="str">
        <f>IFERROR(_xlfn.XLOOKUP(C139,tbl_project_planner[Ref],tbl_project_planner[Actual],,0,),"")</f>
        <v/>
      </c>
      <c r="K139" s="12" t="str" cm="1">
        <f t="array" ref="K139">IFERROR(_xlfn.XLOOKUP(C139,tbl_project_planner[Ref],IF(tbl_project_planner[Est]&gt;0,tbl_project_planner[Est],"-"),,0,),"")</f>
        <v/>
      </c>
      <c r="L139" s="1" t="str">
        <f>IFERROR(_xlfn.XLOOKUP(C139,tbl_project_planner[Ref],tbl_project_planner[Start Date],,0,),"")</f>
        <v/>
      </c>
      <c r="M139" s="1" t="str">
        <f>IFERROR(_xlfn.XLOOKUP(C139,tbl_project_planner[Ref],tbl_project_planner[End Date],,0,),"")</f>
        <v/>
      </c>
      <c r="N139" t="str">
        <f>IFERROR(_xlfn.XLOOKUP(C139,tbl_project_planner[Ref],tbl_project_planner[Elapse],,0,),"")</f>
        <v/>
      </c>
      <c r="O139" t="str">
        <f>IFERROR(_xlfn.XLOOKUP(C139,tbl_project_planner[Ref],tbl_project_planner[Holiday],,0,),"")</f>
        <v/>
      </c>
      <c r="P139">
        <f>(_xlfn.XLOOKUP(tbl_AssignRole[[#This Row],[Assigned]],tbl_staff_list[Name],tbl_staff_list[Daily_Rate],0,0))</f>
        <v>0</v>
      </c>
      <c r="Q139">
        <f>IF(tbl_AssignRole[[#This Row],[Chk]]="N/A",0,tbl_AssignRole[[#This Row],[Actual]]*tbl_AssignRole[[#This Row],[Rate]])</f>
        <v>0</v>
      </c>
      <c r="R139">
        <f>IF(tbl_AssignRole[[#This Row],[Chk]]="N/A",0,tbl_AssignRole[[#This Row],[Est]]*tbl_AssignRole[[#This Row],[Rate]])</f>
        <v>0</v>
      </c>
    </row>
    <row r="140" spans="2:21" x14ac:dyDescent="0.25">
      <c r="B140" t="str">
        <f>IF(tbl_AssignRole[[#This Row],[Ref]]&lt;&gt;0,tbl_AssignRole[[#This Row],[Ref]],"N/A")</f>
        <v>N/A</v>
      </c>
      <c r="C140" s="140">
        <f>ProjectPlan!B92</f>
        <v>0</v>
      </c>
      <c r="D140" t="str">
        <f>IFERROR(_xlfn.XLOOKUP(C140,tbl_project_planner[Ref],tbl_project_planner[Project],,0,),"")</f>
        <v/>
      </c>
      <c r="E140" s="16" t="str">
        <f>IF(tbl_AssignRole[[#This Row],[Chk]]="N/A","N/A",IFERROR(_xlfn.XLOOKUP(tbl_AssignRole[[#This Row],[Ref]],tbl_project_planner[Ref],tbl_project_planner[Done%],,0,),""))</f>
        <v>N/A</v>
      </c>
      <c r="F140" t="str">
        <f>IF(E140&lt;&gt;"N/A",_xlfn.XLOOKUP(C140,tbl_project_planner[Ref],tbl_project_planner[Assigned To],,0,),"")</f>
        <v/>
      </c>
      <c r="G140" t="str">
        <f>IF(E140&lt;&gt;"N/A",_xlfn.XLOOKUP(C140,tbl_project_planner[Ref],tbl_project_planner[Role],,0,),"")</f>
        <v/>
      </c>
      <c r="H140" t="str">
        <f>IF(E140&lt;&gt;"N/A",_xlfn.XLOOKUP(Data!G140,tbl_roles[Roles],tbl_roles[Short Code],,0,),"")</f>
        <v/>
      </c>
      <c r="I140" t="str">
        <f t="shared" si="19"/>
        <v>-</v>
      </c>
      <c r="J140" t="str">
        <f>IFERROR(_xlfn.XLOOKUP(C140,tbl_project_planner[Ref],tbl_project_planner[Actual],,0,),"")</f>
        <v/>
      </c>
      <c r="K140" s="12" t="str" cm="1">
        <f t="array" ref="K140">IFERROR(_xlfn.XLOOKUP(C140,tbl_project_planner[Ref],IF(tbl_project_planner[Est]&gt;0,tbl_project_planner[Est],"-"),,0,),"")</f>
        <v/>
      </c>
      <c r="L140" s="1" t="str">
        <f>IFERROR(_xlfn.XLOOKUP(C140,tbl_project_planner[Ref],tbl_project_planner[Start Date],,0,),"")</f>
        <v/>
      </c>
      <c r="M140" s="1" t="str">
        <f>IFERROR(_xlfn.XLOOKUP(C140,tbl_project_planner[Ref],tbl_project_planner[End Date],,0,),"")</f>
        <v/>
      </c>
      <c r="N140" t="str">
        <f>IFERROR(_xlfn.XLOOKUP(C140,tbl_project_planner[Ref],tbl_project_planner[Elapse],,0,),"")</f>
        <v/>
      </c>
      <c r="O140" t="str">
        <f>IFERROR(_xlfn.XLOOKUP(C140,tbl_project_planner[Ref],tbl_project_planner[Holiday],,0,),"")</f>
        <v/>
      </c>
      <c r="P140">
        <f>(_xlfn.XLOOKUP(tbl_AssignRole[[#This Row],[Assigned]],tbl_staff_list[Name],tbl_staff_list[Daily_Rate],0,0))</f>
        <v>0</v>
      </c>
      <c r="Q140">
        <f>IF(tbl_AssignRole[[#This Row],[Chk]]="N/A",0,tbl_AssignRole[[#This Row],[Actual]]*tbl_AssignRole[[#This Row],[Rate]])</f>
        <v>0</v>
      </c>
      <c r="R140">
        <f>IF(tbl_AssignRole[[#This Row],[Chk]]="N/A",0,tbl_AssignRole[[#This Row],[Est]]*tbl_AssignRole[[#This Row],[Rate]])</f>
        <v>0</v>
      </c>
    </row>
    <row r="141" spans="2:21" x14ac:dyDescent="0.25">
      <c r="B141">
        <f>SUBTOTAL(103,tbl_AssignRole[Chk])</f>
        <v>65</v>
      </c>
      <c r="E141" s="12"/>
      <c r="Q141" s="241">
        <f>SUBTOTAL(109,tbl_AssignRole[A_Cost])</f>
        <v>7578.5</v>
      </c>
      <c r="R141" s="241">
        <f>SUBTOTAL(109,tbl_AssignRole[E_Cost])</f>
        <v>7508.5</v>
      </c>
    </row>
    <row r="144" spans="2:21" x14ac:dyDescent="0.25">
      <c r="D144" s="244" t="s">
        <v>409</v>
      </c>
      <c r="E144" t="s">
        <v>411</v>
      </c>
      <c r="F144" t="s">
        <v>412</v>
      </c>
    </row>
    <row r="145" spans="4:6" x14ac:dyDescent="0.25">
      <c r="D145" s="105" t="s">
        <v>107</v>
      </c>
      <c r="E145" s="245">
        <v>7700</v>
      </c>
      <c r="F145" s="245">
        <v>7700</v>
      </c>
    </row>
    <row r="146" spans="4:6" x14ac:dyDescent="0.25">
      <c r="D146" s="105" t="s">
        <v>112</v>
      </c>
      <c r="E146" s="245">
        <v>13300</v>
      </c>
      <c r="F146" s="245">
        <v>12600</v>
      </c>
    </row>
    <row r="147" spans="4:6" x14ac:dyDescent="0.25">
      <c r="D147" s="105" t="s">
        <v>114</v>
      </c>
      <c r="E147" s="245">
        <v>9900</v>
      </c>
      <c r="F147" s="245">
        <v>9900</v>
      </c>
    </row>
    <row r="148" spans="4:6" x14ac:dyDescent="0.25">
      <c r="D148" s="105" t="s">
        <v>109</v>
      </c>
      <c r="E148" s="245">
        <v>2400</v>
      </c>
      <c r="F148" s="245">
        <v>2400</v>
      </c>
    </row>
    <row r="149" spans="4:6" x14ac:dyDescent="0.25">
      <c r="D149" s="105" t="s">
        <v>113</v>
      </c>
      <c r="E149" s="245">
        <v>1750</v>
      </c>
      <c r="F149" s="245">
        <v>1750</v>
      </c>
    </row>
    <row r="150" spans="4:6" x14ac:dyDescent="0.25">
      <c r="D150" s="105" t="s">
        <v>115</v>
      </c>
      <c r="E150" s="245">
        <v>6400</v>
      </c>
      <c r="F150" s="245">
        <v>6400</v>
      </c>
    </row>
    <row r="151" spans="4:6" x14ac:dyDescent="0.25">
      <c r="D151" s="105" t="s">
        <v>105</v>
      </c>
      <c r="E151" s="245">
        <v>23500</v>
      </c>
      <c r="F151" s="245">
        <v>23500</v>
      </c>
    </row>
    <row r="152" spans="4:6" x14ac:dyDescent="0.25">
      <c r="D152" s="105" t="s">
        <v>111</v>
      </c>
      <c r="E152" s="245">
        <v>23050</v>
      </c>
      <c r="F152" s="245">
        <v>23050</v>
      </c>
    </row>
    <row r="153" spans="4:6" x14ac:dyDescent="0.25">
      <c r="D153" s="105" t="s">
        <v>108</v>
      </c>
      <c r="E153" s="245">
        <v>4000</v>
      </c>
      <c r="F153" s="245">
        <v>4000</v>
      </c>
    </row>
    <row r="154" spans="4:6" x14ac:dyDescent="0.25">
      <c r="D154" s="105" t="s">
        <v>106</v>
      </c>
      <c r="E154" s="245">
        <v>5200</v>
      </c>
      <c r="F154" s="245">
        <v>5200</v>
      </c>
    </row>
    <row r="155" spans="4:6" x14ac:dyDescent="0.25">
      <c r="D155" s="105" t="s">
        <v>316</v>
      </c>
      <c r="E155" s="245">
        <v>250</v>
      </c>
      <c r="F155" s="245">
        <v>250</v>
      </c>
    </row>
    <row r="156" spans="4:6" x14ac:dyDescent="0.25">
      <c r="D156" s="105" t="s">
        <v>110</v>
      </c>
      <c r="E156" s="245">
        <v>2500</v>
      </c>
      <c r="F156" s="245">
        <v>2500</v>
      </c>
    </row>
    <row r="157" spans="4:6" x14ac:dyDescent="0.25">
      <c r="D157" s="105" t="s">
        <v>410</v>
      </c>
      <c r="E157" s="245">
        <v>99950</v>
      </c>
      <c r="F157" s="245">
        <v>99250</v>
      </c>
    </row>
  </sheetData>
  <phoneticPr fontId="3" type="noConversion"/>
  <conditionalFormatting sqref="B27:C36">
    <cfRule type="expression" dxfId="7" priority="2">
      <formula>AND($D27=0,$E27=0)</formula>
    </cfRule>
  </conditionalFormatting>
  <conditionalFormatting sqref="D27:D36">
    <cfRule type="expression" dxfId="6" priority="4">
      <formula>$D27=0</formula>
    </cfRule>
  </conditionalFormatting>
  <conditionalFormatting sqref="D27:E36">
    <cfRule type="cellIs" dxfId="5" priority="1" operator="greaterThan">
      <formula>0</formula>
    </cfRule>
  </conditionalFormatting>
  <conditionalFormatting sqref="E27:E36">
    <cfRule type="expression" dxfId="4" priority="9">
      <formula>$E27=0</formula>
    </cfRule>
  </conditionalFormatting>
  <conditionalFormatting sqref="G25:M30">
    <cfRule type="expression" dxfId="3" priority="11" stopIfTrue="1">
      <formula>MONTH(G25)&lt;&gt;MONTH($D$24&amp;$E$24)</formula>
    </cfRule>
    <cfRule type="expression" dxfId="2" priority="12">
      <formula>ISNUMBER(MATCH(1, (DAY(G25)=DAY(end_dates))*(MONTH(G25)=MONTH(end_dates))*(YEAR(G25)=YEAR(end_dates)), 0))</formula>
    </cfRule>
    <cfRule type="expression" dxfId="1" priority="13">
      <formula>ISNUMBER(MATCH(1, (DAY(G25)=DAY(start_dates))*(MONTH(G25)=MONTH(start_dates))*(YEAR(G25)=YEAR(start_dates)), 0))</formula>
    </cfRule>
    <cfRule type="expression" dxfId="0" priority="15">
      <formula>ISNUMBER(MATCH(1, (DAY(G25)=DAY($E$20:$E$27))*(MONTH(G25)=MONTH($E$20:$E$27))*(YEAR(G25)=YEAR($E$20:$E$27)), 0))</formula>
    </cfRule>
  </conditionalFormatting>
  <dataValidations disablePrompts="1" count="1">
    <dataValidation type="list" allowBlank="1" showInputMessage="1" showErrorMessage="1" sqref="Y55" xr:uid="{2B4447D7-2F82-43B0-BB19-A92201FC3923}">
      <formula1>Roles</formula1>
    </dataValidation>
  </dataValidations>
  <pageMargins left="0.7" right="0.7" top="0.75" bottom="0.75" header="0.3" footer="0.3"/>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3E9A73-FF2F-48C1-8C16-5E964C60EE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20</vt:i4>
      </vt:variant>
    </vt:vector>
  </HeadingPairs>
  <TitlesOfParts>
    <vt:vector size="29" baseType="lpstr">
      <vt:lpstr>HelpPage</vt:lpstr>
      <vt:lpstr>ProjectSummary</vt:lpstr>
      <vt:lpstr>Report</vt:lpstr>
      <vt:lpstr>ProjectSchedule</vt:lpstr>
      <vt:lpstr>ProjectPlan</vt:lpstr>
      <vt:lpstr>Information</vt:lpstr>
      <vt:lpstr>Holidays</vt:lpstr>
      <vt:lpstr>Staff</vt:lpstr>
      <vt:lpstr>Data</vt:lpstr>
      <vt:lpstr>AssignedTo_first_30</vt:lpstr>
      <vt:lpstr>end_dates</vt:lpstr>
      <vt:lpstr>holiday_types</vt:lpstr>
      <vt:lpstr>PCT</vt:lpstr>
      <vt:lpstr>Plan_end_date</vt:lpstr>
      <vt:lpstr>Plan_start_date</vt:lpstr>
      <vt:lpstr>ProjectSchedule!Print_Titles</vt:lpstr>
      <vt:lpstr>prj_ref</vt:lpstr>
      <vt:lpstr>proj_assign_to</vt:lpstr>
      <vt:lpstr>Project_Start</vt:lpstr>
      <vt:lpstr>Roles</vt:lpstr>
      <vt:lpstr>Selected</vt:lpstr>
      <vt:lpstr>Short_Code</vt:lpstr>
      <vt:lpstr>Staff</vt:lpstr>
      <vt:lpstr>Staff_Role</vt:lpstr>
      <vt:lpstr>start_dates</vt:lpstr>
      <vt:lpstr>ProjectSchedule!task_end</vt:lpstr>
      <vt:lpstr>ProjectSchedule!task_progress</vt:lpstr>
      <vt:lpstr>ProjectSchedule!task_start</vt:lpstr>
      <vt:lpstr>tbl_proj_gantt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Tesh Tesh</dc:creator>
  <cp:lastModifiedBy>Tesh Tesh</cp:lastModifiedBy>
  <cp:lastPrinted>2025-02-08T13:13:27Z</cp:lastPrinted>
  <dcterms:created xsi:type="dcterms:W3CDTF">2024-10-30T11:02:17Z</dcterms:created>
  <dcterms:modified xsi:type="dcterms:W3CDTF">2025-03-19T17:25:24Z</dcterms:modified>
</cp:coreProperties>
</file>