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mes\Sword of the Stars\Mods\Bastard Sword of the Stars 2.5\"/>
    </mc:Choice>
  </mc:AlternateContent>
  <bookViews>
    <workbookView xWindow="0" yWindow="0" windowWidth="18870" windowHeight="7920" tabRatio="574"/>
  </bookViews>
  <sheets>
    <sheet name="Sheet1" sheetId="1" r:id="rId1"/>
    <sheet name="Sheet2" sheetId="2" r:id="rId2"/>
    <sheet name="Sheet3" sheetId="3" r:id="rId3"/>
  </sheets>
  <definedNames>
    <definedName name="Alt_Dmg_Table">Sheet2!$E$16:$F$26</definedName>
    <definedName name="Large_Weapon_Damage_Table">Sheet2!$A$3:$B$13</definedName>
    <definedName name="Medium_Weapon_Damage_Table">Sheet2!$A$16:$B$26</definedName>
    <definedName name="Mine_Dmg_Table">Sheet2!$E$42:$F$52</definedName>
    <definedName name="mine_range_table">Sheet2!$H$16:$I$26</definedName>
    <definedName name="Missile_Damage_Table">Sheet2!$E$29:$F$39</definedName>
    <definedName name="Projector_Weapon_Damage_Table">Sheet2!$A$42:$B$52</definedName>
    <definedName name="Small_Weapon_Damage_Table">Sheet2!$A$29:$B$39</definedName>
    <definedName name="Standard_Accuracy_Table">Sheet2!$K$3:$L$12</definedName>
    <definedName name="Standard_F_Rates">Sheet2!$E$3:$F$12</definedName>
    <definedName name="Standard_Range_Table">Sheet2!$H$3:$I$13</definedName>
    <definedName name="standard_weapons">Sheet1!$A$14:$X$117</definedName>
    <definedName name="Torpedo_Weapon_Damage_Table">Sheet2!$A$55:$B$65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5" i="1" l="1"/>
  <c r="Y145" i="1" s="1"/>
  <c r="K145" i="1"/>
  <c r="L145" i="1"/>
  <c r="M145" i="1"/>
  <c r="N145" i="1" s="1"/>
  <c r="O145" i="1"/>
  <c r="T145" i="1"/>
  <c r="U145" i="1"/>
  <c r="V145" i="1"/>
  <c r="W145" i="1"/>
  <c r="D144" i="1"/>
  <c r="Y144" i="1" s="1"/>
  <c r="K144" i="1"/>
  <c r="L144" i="1"/>
  <c r="M144" i="1"/>
  <c r="N144" i="1" s="1"/>
  <c r="O144" i="1"/>
  <c r="T144" i="1"/>
  <c r="U144" i="1"/>
  <c r="V144" i="1"/>
  <c r="W144" i="1"/>
  <c r="D143" i="1"/>
  <c r="Q143" i="1" s="1"/>
  <c r="K143" i="1"/>
  <c r="L143" i="1"/>
  <c r="U143" i="1" s="1"/>
  <c r="M143" i="1"/>
  <c r="N143" i="1" s="1"/>
  <c r="O143" i="1"/>
  <c r="T143" i="1"/>
  <c r="V143" i="1"/>
  <c r="W143" i="1"/>
  <c r="D142" i="1"/>
  <c r="Y142" i="1" s="1"/>
  <c r="K142" i="1"/>
  <c r="L142" i="1"/>
  <c r="U142" i="1" s="1"/>
  <c r="M142" i="1"/>
  <c r="N142" i="1" s="1"/>
  <c r="O142" i="1"/>
  <c r="T142" i="1"/>
  <c r="V142" i="1"/>
  <c r="W142" i="1"/>
  <c r="P145" i="1" l="1"/>
  <c r="Q145" i="1"/>
  <c r="Q144" i="1"/>
  <c r="Y143" i="1"/>
  <c r="P143" i="1"/>
  <c r="P144" i="1"/>
  <c r="Q142" i="1"/>
  <c r="P142" i="1"/>
  <c r="P213" i="1"/>
  <c r="Y213" i="1" s="1"/>
  <c r="D215" i="1"/>
  <c r="H215" i="1" s="1"/>
  <c r="Z215" i="1" s="1"/>
  <c r="P215" i="1"/>
  <c r="Y215" i="1" s="1"/>
  <c r="V215" i="1"/>
  <c r="X215" i="1"/>
  <c r="D214" i="1"/>
  <c r="H214" i="1" s="1"/>
  <c r="Z214" i="1" s="1"/>
  <c r="L214" i="1"/>
  <c r="P214" i="1"/>
  <c r="Y214" i="1" s="1"/>
  <c r="V214" i="1"/>
  <c r="X214" i="1"/>
  <c r="D212" i="1"/>
  <c r="H212" i="1" s="1"/>
  <c r="Z212" i="1" s="1"/>
  <c r="D213" i="1"/>
  <c r="H213" i="1" s="1"/>
  <c r="J213" i="1"/>
  <c r="K213" i="1"/>
  <c r="AA213" i="1" s="1"/>
  <c r="L213" i="1"/>
  <c r="V213" i="1"/>
  <c r="X213" i="1"/>
  <c r="P212" i="1"/>
  <c r="Y212" i="1" s="1"/>
  <c r="V212" i="1"/>
  <c r="X212" i="1"/>
  <c r="Z213" i="1" l="1"/>
  <c r="M213" i="1"/>
  <c r="W213" i="1" s="1"/>
  <c r="I213" i="1"/>
  <c r="K214" i="1"/>
  <c r="AA214" i="1" s="1"/>
  <c r="L215" i="1"/>
  <c r="J214" i="1"/>
  <c r="K215" i="1"/>
  <c r="AA215" i="1" s="1"/>
  <c r="I214" i="1"/>
  <c r="J215" i="1"/>
  <c r="I215" i="1"/>
  <c r="M215" i="1"/>
  <c r="W215" i="1" s="1"/>
  <c r="M214" i="1"/>
  <c r="W214" i="1" s="1"/>
  <c r="L212" i="1"/>
  <c r="K212" i="1"/>
  <c r="AA212" i="1" s="1"/>
  <c r="J212" i="1"/>
  <c r="I212" i="1"/>
  <c r="M212" i="1"/>
  <c r="W212" i="1" s="1"/>
  <c r="D189" i="1"/>
  <c r="I189" i="1" s="1"/>
  <c r="S189" i="1"/>
  <c r="T189" i="1"/>
  <c r="V189" i="1"/>
  <c r="T188" i="1"/>
  <c r="D188" i="1"/>
  <c r="I188" i="1" s="1"/>
  <c r="S188" i="1"/>
  <c r="V188" i="1"/>
  <c r="U223" i="1" l="1"/>
  <c r="S223" i="1"/>
  <c r="M223" i="1"/>
  <c r="V223" i="1" s="1"/>
  <c r="D223" i="1"/>
  <c r="J223" i="1" s="1"/>
  <c r="U222" i="1"/>
  <c r="S222" i="1"/>
  <c r="M222" i="1"/>
  <c r="V222" i="1" s="1"/>
  <c r="D222" i="1"/>
  <c r="J222" i="1" s="1"/>
  <c r="I222" i="1" l="1"/>
  <c r="T222" i="1" s="1"/>
  <c r="I223" i="1"/>
  <c r="T223" i="1" s="1"/>
  <c r="S179" i="1"/>
  <c r="S180" i="1"/>
  <c r="S181" i="1"/>
  <c r="S182" i="1"/>
  <c r="S183" i="1"/>
  <c r="S184" i="1"/>
  <c r="S185" i="1"/>
  <c r="S186" i="1"/>
  <c r="S187" i="1"/>
  <c r="T179" i="1"/>
  <c r="T180" i="1"/>
  <c r="T181" i="1"/>
  <c r="T182" i="1"/>
  <c r="T183" i="1"/>
  <c r="T184" i="1"/>
  <c r="T185" i="1"/>
  <c r="T186" i="1"/>
  <c r="T187" i="1"/>
  <c r="V179" i="1"/>
  <c r="V180" i="1"/>
  <c r="V181" i="1"/>
  <c r="V182" i="1"/>
  <c r="V183" i="1"/>
  <c r="V184" i="1"/>
  <c r="V185" i="1"/>
  <c r="V186" i="1"/>
  <c r="V187" i="1"/>
  <c r="X207" i="1"/>
  <c r="X203" i="1"/>
  <c r="X202" i="1"/>
  <c r="X198" i="1"/>
  <c r="X195" i="1"/>
  <c r="X206" i="1"/>
  <c r="X201" i="1"/>
  <c r="X199" i="1"/>
  <c r="X208" i="1"/>
  <c r="X204" i="1"/>
  <c r="X197" i="1"/>
  <c r="X196" i="1"/>
  <c r="X200" i="1"/>
  <c r="X194" i="1"/>
  <c r="X193" i="1"/>
  <c r="X205" i="1"/>
  <c r="X209" i="1"/>
  <c r="X210" i="1"/>
  <c r="X211" i="1"/>
  <c r="U224" i="1"/>
  <c r="T224" i="1"/>
  <c r="S220" i="1" l="1"/>
  <c r="U220" i="1"/>
  <c r="S221" i="1"/>
  <c r="U221" i="1"/>
  <c r="U219" i="1"/>
  <c r="S219" i="1"/>
  <c r="D206" i="1"/>
  <c r="H206" i="1" s="1"/>
  <c r="P206" i="1"/>
  <c r="Y206" i="1" s="1"/>
  <c r="V206" i="1"/>
  <c r="V211" i="1"/>
  <c r="P211" i="1"/>
  <c r="Y211" i="1" s="1"/>
  <c r="D211" i="1"/>
  <c r="J211" i="1" s="1"/>
  <c r="V195" i="1"/>
  <c r="P195" i="1"/>
  <c r="Y195" i="1" s="1"/>
  <c r="D195" i="1"/>
  <c r="L195" i="1" s="1"/>
  <c r="V210" i="1"/>
  <c r="P210" i="1"/>
  <c r="Y210" i="1" s="1"/>
  <c r="D210" i="1"/>
  <c r="L210" i="1" s="1"/>
  <c r="V203" i="1"/>
  <c r="V202" i="1"/>
  <c r="V201" i="1"/>
  <c r="V199" i="1"/>
  <c r="V208" i="1"/>
  <c r="Y208" i="1"/>
  <c r="V204" i="1"/>
  <c r="V197" i="1"/>
  <c r="V196" i="1"/>
  <c r="V200" i="1"/>
  <c r="V194" i="1"/>
  <c r="V193" i="1"/>
  <c r="V205" i="1"/>
  <c r="Y205" i="1"/>
  <c r="V209" i="1"/>
  <c r="V198" i="1"/>
  <c r="P209" i="1"/>
  <c r="Y209" i="1" s="1"/>
  <c r="D209" i="1"/>
  <c r="K209" i="1" s="1"/>
  <c r="P198" i="1"/>
  <c r="Y198" i="1" s="1"/>
  <c r="D198" i="1"/>
  <c r="I198" i="1" s="1"/>
  <c r="D224" i="1"/>
  <c r="D205" i="1"/>
  <c r="L205" i="1" s="1"/>
  <c r="P193" i="1"/>
  <c r="Y193" i="1" s="1"/>
  <c r="D193" i="1"/>
  <c r="K193" i="1" s="1"/>
  <c r="P194" i="1"/>
  <c r="Y194" i="1" s="1"/>
  <c r="D194" i="1"/>
  <c r="J194" i="1" s="1"/>
  <c r="P200" i="1"/>
  <c r="Y200" i="1" s="1"/>
  <c r="D200" i="1"/>
  <c r="I200" i="1" s="1"/>
  <c r="P196" i="1"/>
  <c r="Y196" i="1" s="1"/>
  <c r="D196" i="1"/>
  <c r="H196" i="1" s="1"/>
  <c r="P197" i="1"/>
  <c r="Y197" i="1" s="1"/>
  <c r="D197" i="1"/>
  <c r="H197" i="1" s="1"/>
  <c r="P204" i="1"/>
  <c r="Y204" i="1" s="1"/>
  <c r="D204" i="1"/>
  <c r="J204" i="1" s="1"/>
  <c r="D208" i="1"/>
  <c r="L208" i="1" s="1"/>
  <c r="P203" i="1"/>
  <c r="Y203" i="1" s="1"/>
  <c r="P202" i="1"/>
  <c r="Y202" i="1" s="1"/>
  <c r="P201" i="1"/>
  <c r="Y201" i="1" s="1"/>
  <c r="P199" i="1"/>
  <c r="Y199" i="1" s="1"/>
  <c r="M219" i="1"/>
  <c r="V219" i="1" s="1"/>
  <c r="M220" i="1"/>
  <c r="V220" i="1" s="1"/>
  <c r="M221" i="1"/>
  <c r="V221" i="1" s="1"/>
  <c r="D203" i="1"/>
  <c r="I203" i="1" s="1"/>
  <c r="D202" i="1"/>
  <c r="L202" i="1" s="1"/>
  <c r="D201" i="1"/>
  <c r="J201" i="1" s="1"/>
  <c r="D199" i="1"/>
  <c r="H199" i="1" s="1"/>
  <c r="M199" i="1" s="1"/>
  <c r="W199" i="1" s="1"/>
  <c r="D219" i="1"/>
  <c r="J219" i="1" s="1"/>
  <c r="D220" i="1"/>
  <c r="I220" i="1" s="1"/>
  <c r="T220" i="1" s="1"/>
  <c r="D221" i="1"/>
  <c r="I221" i="1" s="1"/>
  <c r="T221" i="1" s="1"/>
  <c r="P207" i="1"/>
  <c r="Y207" i="1" s="1"/>
  <c r="V207" i="1"/>
  <c r="D207" i="1"/>
  <c r="H207" i="1" s="1"/>
  <c r="D180" i="1"/>
  <c r="I180" i="1" s="1"/>
  <c r="D181" i="1"/>
  <c r="I181" i="1" s="1"/>
  <c r="D182" i="1"/>
  <c r="I182" i="1" s="1"/>
  <c r="D183" i="1"/>
  <c r="I183" i="1" s="1"/>
  <c r="D184" i="1"/>
  <c r="I184" i="1" s="1"/>
  <c r="D185" i="1"/>
  <c r="I185" i="1" s="1"/>
  <c r="D186" i="1"/>
  <c r="I186" i="1" s="1"/>
  <c r="D187" i="1"/>
  <c r="I187" i="1" s="1"/>
  <c r="D179" i="1"/>
  <c r="I179" i="1" s="1"/>
  <c r="X75" i="1"/>
  <c r="W75" i="1"/>
  <c r="D75" i="1"/>
  <c r="K21" i="1"/>
  <c r="J21" i="1"/>
  <c r="I21" i="1"/>
  <c r="J62" i="1"/>
  <c r="K62" i="1"/>
  <c r="I62" i="1"/>
  <c r="J20" i="1"/>
  <c r="K20" i="1"/>
  <c r="I20" i="1"/>
  <c r="X21" i="1"/>
  <c r="W21" i="1"/>
  <c r="D21" i="1"/>
  <c r="X20" i="1"/>
  <c r="W20" i="1"/>
  <c r="D20" i="1"/>
  <c r="H20" i="1" s="1"/>
  <c r="U20" i="1" s="1"/>
  <c r="X62" i="1"/>
  <c r="W62" i="1"/>
  <c r="D62" i="1"/>
  <c r="X91" i="1"/>
  <c r="W91" i="1"/>
  <c r="D91" i="1"/>
  <c r="X109" i="1"/>
  <c r="W109" i="1"/>
  <c r="D109" i="1"/>
  <c r="X127" i="1"/>
  <c r="W127" i="1"/>
  <c r="D127" i="1"/>
  <c r="X126" i="1"/>
  <c r="W126" i="1"/>
  <c r="D126" i="1"/>
  <c r="D6" i="1"/>
  <c r="P6" i="1" s="1"/>
  <c r="K6" i="1"/>
  <c r="T6" i="1"/>
  <c r="V6" i="1"/>
  <c r="W6" i="1"/>
  <c r="L20" i="1" l="1"/>
  <c r="H75" i="1"/>
  <c r="P75" i="1" s="1"/>
  <c r="Q109" i="1"/>
  <c r="H109" i="1"/>
  <c r="P109" i="1" s="1"/>
  <c r="R126" i="1"/>
  <c r="H126" i="1"/>
  <c r="M126" i="1" s="1"/>
  <c r="H62" i="1"/>
  <c r="U62" i="1" s="1"/>
  <c r="H21" i="1"/>
  <c r="U21" i="1" s="1"/>
  <c r="Q127" i="1"/>
  <c r="H127" i="1"/>
  <c r="M127" i="1" s="1"/>
  <c r="N127" i="1" s="1"/>
  <c r="O127" i="1" s="1"/>
  <c r="Q91" i="1"/>
  <c r="H91" i="1"/>
  <c r="Z206" i="1"/>
  <c r="M206" i="1"/>
  <c r="W206" i="1" s="1"/>
  <c r="Z197" i="1"/>
  <c r="M197" i="1"/>
  <c r="W197" i="1" s="1"/>
  <c r="Z207" i="1"/>
  <c r="M207" i="1"/>
  <c r="W207" i="1" s="1"/>
  <c r="Z196" i="1"/>
  <c r="M196" i="1"/>
  <c r="W196" i="1" s="1"/>
  <c r="AA209" i="1"/>
  <c r="AA193" i="1"/>
  <c r="J224" i="1"/>
  <c r="I224" i="1"/>
  <c r="J221" i="1"/>
  <c r="J203" i="1"/>
  <c r="I219" i="1"/>
  <c r="T219" i="1" s="1"/>
  <c r="J220" i="1"/>
  <c r="K208" i="1"/>
  <c r="L206" i="1"/>
  <c r="I206" i="1"/>
  <c r="H201" i="1"/>
  <c r="K206" i="1"/>
  <c r="H202" i="1"/>
  <c r="J206" i="1"/>
  <c r="K202" i="1"/>
  <c r="L199" i="1"/>
  <c r="J199" i="1"/>
  <c r="I201" i="1"/>
  <c r="I202" i="1"/>
  <c r="L209" i="1"/>
  <c r="H198" i="1"/>
  <c r="J209" i="1"/>
  <c r="K207" i="1"/>
  <c r="H209" i="1"/>
  <c r="H203" i="1"/>
  <c r="Z199" i="1"/>
  <c r="I211" i="1"/>
  <c r="K211" i="1"/>
  <c r="H211" i="1"/>
  <c r="L211" i="1"/>
  <c r="H195" i="1"/>
  <c r="I195" i="1"/>
  <c r="J195" i="1"/>
  <c r="K195" i="1"/>
  <c r="K199" i="1"/>
  <c r="J202" i="1"/>
  <c r="L207" i="1"/>
  <c r="I209" i="1"/>
  <c r="H210" i="1"/>
  <c r="I210" i="1"/>
  <c r="H208" i="1"/>
  <c r="I199" i="1"/>
  <c r="J207" i="1"/>
  <c r="K196" i="1"/>
  <c r="K210" i="1"/>
  <c r="I208" i="1"/>
  <c r="L203" i="1"/>
  <c r="I207" i="1"/>
  <c r="J208" i="1"/>
  <c r="L201" i="1"/>
  <c r="K203" i="1"/>
  <c r="K201" i="1"/>
  <c r="J210" i="1"/>
  <c r="L198" i="1"/>
  <c r="K198" i="1"/>
  <c r="J198" i="1"/>
  <c r="J205" i="1"/>
  <c r="I193" i="1"/>
  <c r="L193" i="1"/>
  <c r="K194" i="1"/>
  <c r="L194" i="1"/>
  <c r="H194" i="1"/>
  <c r="K200" i="1"/>
  <c r="L196" i="1"/>
  <c r="I196" i="1"/>
  <c r="J196" i="1"/>
  <c r="I197" i="1"/>
  <c r="J197" i="1"/>
  <c r="L197" i="1"/>
  <c r="K197" i="1"/>
  <c r="L204" i="1"/>
  <c r="H204" i="1"/>
  <c r="K204" i="1"/>
  <c r="J200" i="1"/>
  <c r="L200" i="1"/>
  <c r="H205" i="1"/>
  <c r="H193" i="1"/>
  <c r="I205" i="1"/>
  <c r="I204" i="1"/>
  <c r="H200" i="1"/>
  <c r="I194" i="1"/>
  <c r="J193" i="1"/>
  <c r="K205" i="1"/>
  <c r="Q75" i="1"/>
  <c r="R75" i="1"/>
  <c r="Q21" i="1"/>
  <c r="R21" i="1"/>
  <c r="P20" i="1"/>
  <c r="R109" i="1"/>
  <c r="R127" i="1"/>
  <c r="Q126" i="1"/>
  <c r="Q62" i="1"/>
  <c r="R20" i="1"/>
  <c r="M20" i="1"/>
  <c r="Q20" i="1"/>
  <c r="Z20" i="1"/>
  <c r="R91" i="1"/>
  <c r="R62" i="1"/>
  <c r="O6" i="1"/>
  <c r="L6" i="1"/>
  <c r="Y6" i="1"/>
  <c r="Q6" i="1"/>
  <c r="V5" i="1"/>
  <c r="V4" i="1"/>
  <c r="V10" i="1"/>
  <c r="W132" i="1"/>
  <c r="W133" i="1"/>
  <c r="W134" i="1"/>
  <c r="W135" i="1"/>
  <c r="W136" i="1"/>
  <c r="W137" i="1"/>
  <c r="W138" i="1"/>
  <c r="W139" i="1"/>
  <c r="W140" i="1"/>
  <c r="W141" i="1"/>
  <c r="W14" i="1"/>
  <c r="W19" i="1"/>
  <c r="W27" i="1"/>
  <c r="W16" i="1"/>
  <c r="W15" i="1"/>
  <c r="W18" i="1"/>
  <c r="W17" i="1"/>
  <c r="W26" i="1"/>
  <c r="W28" i="1"/>
  <c r="W22" i="1"/>
  <c r="W23" i="1"/>
  <c r="W34" i="1"/>
  <c r="W24" i="1"/>
  <c r="W25" i="1"/>
  <c r="W29" i="1"/>
  <c r="W41" i="1"/>
  <c r="W43" i="1"/>
  <c r="W50" i="1"/>
  <c r="W30" i="1"/>
  <c r="W31" i="1"/>
  <c r="W32" i="1"/>
  <c r="W33" i="1"/>
  <c r="W35" i="1"/>
  <c r="W36" i="1"/>
  <c r="W40" i="1"/>
  <c r="W37" i="1"/>
  <c r="W39" i="1"/>
  <c r="W56" i="1"/>
  <c r="W55" i="1"/>
  <c r="W38" i="1"/>
  <c r="W42" i="1"/>
  <c r="W45" i="1"/>
  <c r="W57" i="1"/>
  <c r="W44" i="1"/>
  <c r="W65" i="1"/>
  <c r="W46" i="1"/>
  <c r="W48" i="1"/>
  <c r="W49" i="1"/>
  <c r="W51" i="1"/>
  <c r="W52" i="1"/>
  <c r="W54" i="1"/>
  <c r="W64" i="1"/>
  <c r="W47" i="1"/>
  <c r="W58" i="1"/>
  <c r="W71" i="1"/>
  <c r="W59" i="1"/>
  <c r="W84" i="1"/>
  <c r="W60" i="1"/>
  <c r="W61" i="1"/>
  <c r="W68" i="1"/>
  <c r="W78" i="1"/>
  <c r="W63" i="1"/>
  <c r="W66" i="1"/>
  <c r="W72" i="1"/>
  <c r="W67" i="1"/>
  <c r="W69" i="1"/>
  <c r="W74" i="1"/>
  <c r="W76" i="1"/>
  <c r="W73" i="1"/>
  <c r="W88" i="1"/>
  <c r="W77" i="1"/>
  <c r="W79" i="1"/>
  <c r="W80" i="1"/>
  <c r="W86" i="1"/>
  <c r="W82" i="1"/>
  <c r="W90" i="1"/>
  <c r="W89" i="1"/>
  <c r="W81" i="1"/>
  <c r="W83" i="1"/>
  <c r="W53" i="1"/>
  <c r="W85" i="1"/>
  <c r="W87" i="1"/>
  <c r="W94" i="1"/>
  <c r="W92" i="1"/>
  <c r="W100" i="1"/>
  <c r="W96" i="1"/>
  <c r="W97" i="1"/>
  <c r="W95" i="1"/>
  <c r="W102" i="1"/>
  <c r="W93" i="1"/>
  <c r="W107" i="1"/>
  <c r="W106" i="1"/>
  <c r="W70" i="1"/>
  <c r="W98" i="1"/>
  <c r="W101" i="1"/>
  <c r="W105" i="1"/>
  <c r="W104" i="1"/>
  <c r="W103" i="1"/>
  <c r="W112" i="1"/>
  <c r="W111" i="1"/>
  <c r="W108" i="1"/>
  <c r="W110" i="1"/>
  <c r="W119" i="1"/>
  <c r="W114" i="1"/>
  <c r="W113" i="1"/>
  <c r="W99" i="1"/>
  <c r="W115" i="1"/>
  <c r="W116" i="1"/>
  <c r="W118" i="1"/>
  <c r="W120" i="1"/>
  <c r="W123" i="1"/>
  <c r="W117" i="1"/>
  <c r="W122" i="1"/>
  <c r="W121" i="1"/>
  <c r="W124" i="1"/>
  <c r="W125" i="1"/>
  <c r="W128" i="1"/>
  <c r="V132" i="1"/>
  <c r="V133" i="1"/>
  <c r="V134" i="1"/>
  <c r="V135" i="1"/>
  <c r="V136" i="1"/>
  <c r="V137" i="1"/>
  <c r="V138" i="1"/>
  <c r="V139" i="1"/>
  <c r="V140" i="1"/>
  <c r="V141" i="1"/>
  <c r="W152" i="1"/>
  <c r="W151" i="1"/>
  <c r="W153" i="1"/>
  <c r="W149" i="1"/>
  <c r="W150" i="1"/>
  <c r="W157" i="1"/>
  <c r="W156" i="1"/>
  <c r="W160" i="1"/>
  <c r="W154" i="1"/>
  <c r="W155" i="1"/>
  <c r="W159" i="1"/>
  <c r="W158" i="1"/>
  <c r="W161" i="1"/>
  <c r="W162" i="1"/>
  <c r="V152" i="1"/>
  <c r="V151" i="1"/>
  <c r="V153" i="1"/>
  <c r="V149" i="1"/>
  <c r="V150" i="1"/>
  <c r="V157" i="1"/>
  <c r="V156" i="1"/>
  <c r="V160" i="1"/>
  <c r="V154" i="1"/>
  <c r="V155" i="1"/>
  <c r="V159" i="1"/>
  <c r="V158" i="1"/>
  <c r="V161" i="1"/>
  <c r="V162" i="1"/>
  <c r="V167" i="1"/>
  <c r="V168" i="1"/>
  <c r="V169" i="1"/>
  <c r="V170" i="1"/>
  <c r="V171" i="1"/>
  <c r="V172" i="1"/>
  <c r="V173" i="1"/>
  <c r="V174" i="1"/>
  <c r="V175" i="1"/>
  <c r="V166" i="1"/>
  <c r="W167" i="1"/>
  <c r="W168" i="1"/>
  <c r="W169" i="1"/>
  <c r="W170" i="1"/>
  <c r="W171" i="1"/>
  <c r="W172" i="1"/>
  <c r="W173" i="1"/>
  <c r="W174" i="1"/>
  <c r="W175" i="1"/>
  <c r="W166" i="1"/>
  <c r="T4" i="1"/>
  <c r="T10" i="1"/>
  <c r="T5" i="1"/>
  <c r="W4" i="1"/>
  <c r="W10" i="1"/>
  <c r="W5" i="1"/>
  <c r="X19" i="1"/>
  <c r="X27" i="1"/>
  <c r="X16" i="1"/>
  <c r="X15" i="1"/>
  <c r="X18" i="1"/>
  <c r="X17" i="1"/>
  <c r="X26" i="1"/>
  <c r="X28" i="1"/>
  <c r="X22" i="1"/>
  <c r="X23" i="1"/>
  <c r="X34" i="1"/>
  <c r="X24" i="1"/>
  <c r="X25" i="1"/>
  <c r="X29" i="1"/>
  <c r="X41" i="1"/>
  <c r="X43" i="1"/>
  <c r="X50" i="1"/>
  <c r="X30" i="1"/>
  <c r="X31" i="1"/>
  <c r="X32" i="1"/>
  <c r="X33" i="1"/>
  <c r="X35" i="1"/>
  <c r="X36" i="1"/>
  <c r="X40" i="1"/>
  <c r="X37" i="1"/>
  <c r="X39" i="1"/>
  <c r="X56" i="1"/>
  <c r="X55" i="1"/>
  <c r="X38" i="1"/>
  <c r="X42" i="1"/>
  <c r="X45" i="1"/>
  <c r="X57" i="1"/>
  <c r="X44" i="1"/>
  <c r="X65" i="1"/>
  <c r="X46" i="1"/>
  <c r="X48" i="1"/>
  <c r="X49" i="1"/>
  <c r="X51" i="1"/>
  <c r="X52" i="1"/>
  <c r="X54" i="1"/>
  <c r="X64" i="1"/>
  <c r="X47" i="1"/>
  <c r="X58" i="1"/>
  <c r="X71" i="1"/>
  <c r="X59" i="1"/>
  <c r="X84" i="1"/>
  <c r="X60" i="1"/>
  <c r="X61" i="1"/>
  <c r="X68" i="1"/>
  <c r="X78" i="1"/>
  <c r="X63" i="1"/>
  <c r="X66" i="1"/>
  <c r="X72" i="1"/>
  <c r="X67" i="1"/>
  <c r="X69" i="1"/>
  <c r="X74" i="1"/>
  <c r="X76" i="1"/>
  <c r="X73" i="1"/>
  <c r="X88" i="1"/>
  <c r="X77" i="1"/>
  <c r="X79" i="1"/>
  <c r="X80" i="1"/>
  <c r="X86" i="1"/>
  <c r="X82" i="1"/>
  <c r="X90" i="1"/>
  <c r="X89" i="1"/>
  <c r="X81" i="1"/>
  <c r="X83" i="1"/>
  <c r="X53" i="1"/>
  <c r="X85" i="1"/>
  <c r="X87" i="1"/>
  <c r="X94" i="1"/>
  <c r="X92" i="1"/>
  <c r="X100" i="1"/>
  <c r="X96" i="1"/>
  <c r="X97" i="1"/>
  <c r="X95" i="1"/>
  <c r="X102" i="1"/>
  <c r="X93" i="1"/>
  <c r="X107" i="1"/>
  <c r="X106" i="1"/>
  <c r="X70" i="1"/>
  <c r="X98" i="1"/>
  <c r="X101" i="1"/>
  <c r="X105" i="1"/>
  <c r="X104" i="1"/>
  <c r="X103" i="1"/>
  <c r="X112" i="1"/>
  <c r="X111" i="1"/>
  <c r="X108" i="1"/>
  <c r="X110" i="1"/>
  <c r="X119" i="1"/>
  <c r="X114" i="1"/>
  <c r="X113" i="1"/>
  <c r="X99" i="1"/>
  <c r="X115" i="1"/>
  <c r="X116" i="1"/>
  <c r="X118" i="1"/>
  <c r="X120" i="1"/>
  <c r="X123" i="1"/>
  <c r="X117" i="1"/>
  <c r="X122" i="1"/>
  <c r="X121" i="1"/>
  <c r="X124" i="1"/>
  <c r="X125" i="1"/>
  <c r="X128" i="1"/>
  <c r="X14" i="1"/>
  <c r="T167" i="1"/>
  <c r="T168" i="1"/>
  <c r="T169" i="1"/>
  <c r="T170" i="1"/>
  <c r="T171" i="1"/>
  <c r="T172" i="1"/>
  <c r="T173" i="1"/>
  <c r="T174" i="1"/>
  <c r="T175" i="1"/>
  <c r="T166" i="1"/>
  <c r="T133" i="1"/>
  <c r="T134" i="1"/>
  <c r="T135" i="1"/>
  <c r="T136" i="1"/>
  <c r="T137" i="1"/>
  <c r="T138" i="1"/>
  <c r="T139" i="1"/>
  <c r="T140" i="1"/>
  <c r="T141" i="1"/>
  <c r="T132" i="1"/>
  <c r="T151" i="1"/>
  <c r="T153" i="1"/>
  <c r="T149" i="1"/>
  <c r="T150" i="1"/>
  <c r="T157" i="1"/>
  <c r="T156" i="1"/>
  <c r="T160" i="1"/>
  <c r="T154" i="1"/>
  <c r="T155" i="1"/>
  <c r="T159" i="1"/>
  <c r="T158" i="1"/>
  <c r="T161" i="1"/>
  <c r="T162" i="1"/>
  <c r="T152" i="1"/>
  <c r="D174" i="1"/>
  <c r="Y174" i="1" s="1"/>
  <c r="D172" i="1"/>
  <c r="Y172" i="1" s="1"/>
  <c r="D171" i="1"/>
  <c r="Y171" i="1" s="1"/>
  <c r="D173" i="1"/>
  <c r="Y173" i="1" s="1"/>
  <c r="D170" i="1"/>
  <c r="Y170" i="1" s="1"/>
  <c r="D166" i="1"/>
  <c r="Y166" i="1" s="1"/>
  <c r="D169" i="1"/>
  <c r="Y169" i="1" s="1"/>
  <c r="D168" i="1"/>
  <c r="Y168" i="1" s="1"/>
  <c r="D167" i="1"/>
  <c r="Y167" i="1" s="1"/>
  <c r="D175" i="1"/>
  <c r="Y175" i="1" s="1"/>
  <c r="D4" i="1"/>
  <c r="P4" i="1" s="1"/>
  <c r="D10" i="1"/>
  <c r="Y10" i="1" s="1"/>
  <c r="D5" i="1"/>
  <c r="L5" i="1" s="1"/>
  <c r="M5" i="1" s="1"/>
  <c r="N5" i="1" s="1"/>
  <c r="Z109" i="1" l="1"/>
  <c r="M109" i="1"/>
  <c r="P127" i="1"/>
  <c r="Z127" i="1"/>
  <c r="V126" i="1"/>
  <c r="L21" i="1"/>
  <c r="M75" i="1"/>
  <c r="N75" i="1" s="1"/>
  <c r="O75" i="1" s="1"/>
  <c r="M62" i="1"/>
  <c r="V62" i="1" s="1"/>
  <c r="P62" i="1"/>
  <c r="Z62" i="1"/>
  <c r="P126" i="1"/>
  <c r="L62" i="1"/>
  <c r="Z126" i="1"/>
  <c r="L91" i="1"/>
  <c r="U91" i="1"/>
  <c r="U127" i="1"/>
  <c r="L127" i="1"/>
  <c r="P91" i="1"/>
  <c r="M21" i="1"/>
  <c r="N21" i="1" s="1"/>
  <c r="O21" i="1" s="1"/>
  <c r="U109" i="1"/>
  <c r="L109" i="1"/>
  <c r="L126" i="1"/>
  <c r="U126" i="1"/>
  <c r="Z91" i="1"/>
  <c r="M91" i="1"/>
  <c r="V91" i="1" s="1"/>
  <c r="Z21" i="1"/>
  <c r="L75" i="1"/>
  <c r="U75" i="1"/>
  <c r="P21" i="1"/>
  <c r="Z75" i="1"/>
  <c r="Z210" i="1"/>
  <c r="M210" i="1"/>
  <c r="W210" i="1" s="1"/>
  <c r="Z195" i="1"/>
  <c r="M195" i="1"/>
  <c r="W195" i="1" s="1"/>
  <c r="Z193" i="1"/>
  <c r="M193" i="1"/>
  <c r="W193" i="1" s="1"/>
  <c r="Z211" i="1"/>
  <c r="M211" i="1"/>
  <c r="W211" i="1" s="1"/>
  <c r="Z198" i="1"/>
  <c r="M198" i="1"/>
  <c r="W198" i="1" s="1"/>
  <c r="Z202" i="1"/>
  <c r="M202" i="1"/>
  <c r="W202" i="1" s="1"/>
  <c r="Z205" i="1"/>
  <c r="M205" i="1"/>
  <c r="W205" i="1" s="1"/>
  <c r="Z194" i="1"/>
  <c r="M194" i="1"/>
  <c r="W194" i="1" s="1"/>
  <c r="Z201" i="1"/>
  <c r="M201" i="1"/>
  <c r="W201" i="1" s="1"/>
  <c r="Z208" i="1"/>
  <c r="M208" i="1"/>
  <c r="W208" i="1" s="1"/>
  <c r="Z203" i="1"/>
  <c r="M203" i="1"/>
  <c r="W203" i="1" s="1"/>
  <c r="Z200" i="1"/>
  <c r="M200" i="1"/>
  <c r="W200" i="1" s="1"/>
  <c r="Z204" i="1"/>
  <c r="M204" i="1"/>
  <c r="W204" i="1" s="1"/>
  <c r="Z209" i="1"/>
  <c r="M209" i="1"/>
  <c r="W209" i="1" s="1"/>
  <c r="AA194" i="1"/>
  <c r="AA201" i="1"/>
  <c r="AA196" i="1"/>
  <c r="AA211" i="1"/>
  <c r="AA206" i="1"/>
  <c r="AA205" i="1"/>
  <c r="AA203" i="1"/>
  <c r="AA199" i="1"/>
  <c r="AA195" i="1"/>
  <c r="AA204" i="1"/>
  <c r="AA210" i="1"/>
  <c r="AA208" i="1"/>
  <c r="AA200" i="1"/>
  <c r="AA198" i="1"/>
  <c r="AA207" i="1"/>
  <c r="AA202" i="1"/>
  <c r="AA197" i="1"/>
  <c r="V75" i="1"/>
  <c r="V20" i="1"/>
  <c r="V127" i="1"/>
  <c r="V109" i="1"/>
  <c r="N20" i="1"/>
  <c r="O20" i="1" s="1"/>
  <c r="N126" i="1"/>
  <c r="O126" i="1" s="1"/>
  <c r="N109" i="1"/>
  <c r="O109" i="1" s="1"/>
  <c r="U6" i="1"/>
  <c r="M6" i="1"/>
  <c r="N6" i="1" s="1"/>
  <c r="Q171" i="1"/>
  <c r="Q172" i="1"/>
  <c r="Q5" i="1"/>
  <c r="Q170" i="1"/>
  <c r="Q10" i="1"/>
  <c r="Q169" i="1"/>
  <c r="Q166" i="1"/>
  <c r="Q168" i="1"/>
  <c r="Y5" i="1"/>
  <c r="Q175" i="1"/>
  <c r="Q167" i="1"/>
  <c r="Q4" i="1"/>
  <c r="Q174" i="1"/>
  <c r="U5" i="1"/>
  <c r="Q173" i="1"/>
  <c r="Y4" i="1"/>
  <c r="L4" i="1"/>
  <c r="O4" i="1"/>
  <c r="P5" i="1"/>
  <c r="O5" i="1"/>
  <c r="D69" i="1"/>
  <c r="H69" i="1" s="1"/>
  <c r="D53" i="1"/>
  <c r="H53" i="1" s="1"/>
  <c r="D70" i="1"/>
  <c r="H70" i="1" s="1"/>
  <c r="D98" i="1"/>
  <c r="D40" i="1"/>
  <c r="H40" i="1" s="1"/>
  <c r="D39" i="1"/>
  <c r="H39" i="1" s="1"/>
  <c r="D60" i="1"/>
  <c r="H60" i="1" s="1"/>
  <c r="D48" i="1"/>
  <c r="H48" i="1" s="1"/>
  <c r="D27" i="1"/>
  <c r="H27" i="1" s="1"/>
  <c r="D26" i="1"/>
  <c r="H26" i="1" s="1"/>
  <c r="D43" i="1"/>
  <c r="H43" i="1" s="1"/>
  <c r="D34" i="1"/>
  <c r="H34" i="1" s="1"/>
  <c r="D14" i="1"/>
  <c r="H14" i="1" s="1"/>
  <c r="D28" i="1"/>
  <c r="H28" i="1" s="1"/>
  <c r="D19" i="1"/>
  <c r="H19" i="1" s="1"/>
  <c r="D79" i="1"/>
  <c r="H79" i="1" s="1"/>
  <c r="D18" i="1"/>
  <c r="H18" i="1" s="1"/>
  <c r="D17" i="1"/>
  <c r="H17" i="1" s="1"/>
  <c r="D24" i="1"/>
  <c r="H24" i="1" s="1"/>
  <c r="D25" i="1"/>
  <c r="H25" i="1" s="1"/>
  <c r="D30" i="1"/>
  <c r="H30" i="1" s="1"/>
  <c r="D31" i="1"/>
  <c r="H31" i="1" s="1"/>
  <c r="D51" i="1"/>
  <c r="H51" i="1" s="1"/>
  <c r="D52" i="1"/>
  <c r="H52" i="1" s="1"/>
  <c r="D66" i="1"/>
  <c r="H66" i="1" s="1"/>
  <c r="D67" i="1"/>
  <c r="H67" i="1" s="1"/>
  <c r="D80" i="1"/>
  <c r="H80" i="1" s="1"/>
  <c r="D81" i="1"/>
  <c r="D128" i="1"/>
  <c r="H128" i="1" s="1"/>
  <c r="D83" i="1"/>
  <c r="H83" i="1" s="1"/>
  <c r="D94" i="1"/>
  <c r="H94" i="1" s="1"/>
  <c r="D16" i="1"/>
  <c r="H16" i="1" s="1"/>
  <c r="D15" i="1"/>
  <c r="H15" i="1" s="1"/>
  <c r="D22" i="1"/>
  <c r="H22" i="1" s="1"/>
  <c r="D29" i="1"/>
  <c r="H29" i="1" s="1"/>
  <c r="D35" i="1"/>
  <c r="H35" i="1" s="1"/>
  <c r="D42" i="1"/>
  <c r="H42" i="1" s="1"/>
  <c r="D46" i="1"/>
  <c r="H46" i="1" s="1"/>
  <c r="D58" i="1"/>
  <c r="H58" i="1" s="1"/>
  <c r="D74" i="1"/>
  <c r="H74" i="1" s="1"/>
  <c r="D32" i="1"/>
  <c r="H32" i="1" s="1"/>
  <c r="D45" i="1"/>
  <c r="H45" i="1" s="1"/>
  <c r="D59" i="1"/>
  <c r="H59" i="1" s="1"/>
  <c r="D68" i="1"/>
  <c r="H68" i="1" s="1"/>
  <c r="D63" i="1"/>
  <c r="H63" i="1" s="1"/>
  <c r="D76" i="1"/>
  <c r="H76" i="1" s="1"/>
  <c r="D73" i="1"/>
  <c r="H73" i="1" s="1"/>
  <c r="D77" i="1"/>
  <c r="H77" i="1" s="1"/>
  <c r="D82" i="1"/>
  <c r="H82" i="1" s="1"/>
  <c r="D86" i="1"/>
  <c r="H86" i="1" s="1"/>
  <c r="D85" i="1"/>
  <c r="H85" i="1" s="1"/>
  <c r="D92" i="1"/>
  <c r="D97" i="1"/>
  <c r="H97" i="1" s="1"/>
  <c r="D93" i="1"/>
  <c r="H93" i="1" s="1"/>
  <c r="D95" i="1"/>
  <c r="H95" i="1" s="1"/>
  <c r="D101" i="1"/>
  <c r="H101" i="1" s="1"/>
  <c r="D87" i="1"/>
  <c r="H87" i="1" s="1"/>
  <c r="D105" i="1"/>
  <c r="H105" i="1" s="1"/>
  <c r="D116" i="1"/>
  <c r="H116" i="1" s="1"/>
  <c r="D41" i="1"/>
  <c r="H41" i="1" s="1"/>
  <c r="D50" i="1"/>
  <c r="H50" i="1" s="1"/>
  <c r="D56" i="1"/>
  <c r="H56" i="1" s="1"/>
  <c r="D55" i="1"/>
  <c r="H55" i="1" s="1"/>
  <c r="D57" i="1"/>
  <c r="H57" i="1" s="1"/>
  <c r="D65" i="1"/>
  <c r="H65" i="1" s="1"/>
  <c r="D64" i="1"/>
  <c r="H64" i="1" s="1"/>
  <c r="D71" i="1"/>
  <c r="H71" i="1" s="1"/>
  <c r="D84" i="1"/>
  <c r="H84" i="1" s="1"/>
  <c r="D72" i="1"/>
  <c r="H72" i="1" s="1"/>
  <c r="D78" i="1"/>
  <c r="H78" i="1" s="1"/>
  <c r="D88" i="1"/>
  <c r="H88" i="1" s="1"/>
  <c r="D132" i="1"/>
  <c r="D133" i="1"/>
  <c r="D134" i="1"/>
  <c r="D135" i="1"/>
  <c r="D137" i="1"/>
  <c r="D139" i="1"/>
  <c r="D141" i="1"/>
  <c r="D140" i="1"/>
  <c r="D136" i="1"/>
  <c r="D138" i="1"/>
  <c r="D37" i="1"/>
  <c r="H37" i="1" s="1"/>
  <c r="D104" i="1"/>
  <c r="H104" i="1" s="1"/>
  <c r="D103" i="1"/>
  <c r="H103" i="1" s="1"/>
  <c r="D111" i="1"/>
  <c r="H111" i="1" s="1"/>
  <c r="D108" i="1"/>
  <c r="H108" i="1" s="1"/>
  <c r="D110" i="1"/>
  <c r="H110" i="1" s="1"/>
  <c r="D114" i="1"/>
  <c r="H114" i="1" s="1"/>
  <c r="D113" i="1"/>
  <c r="H113" i="1" s="1"/>
  <c r="D115" i="1"/>
  <c r="H115" i="1" s="1"/>
  <c r="D118" i="1"/>
  <c r="H118" i="1" s="1"/>
  <c r="D120" i="1"/>
  <c r="H120" i="1" s="1"/>
  <c r="D117" i="1"/>
  <c r="H117" i="1" s="1"/>
  <c r="D122" i="1"/>
  <c r="H122" i="1" s="1"/>
  <c r="D121" i="1"/>
  <c r="H121" i="1" s="1"/>
  <c r="D124" i="1"/>
  <c r="H124" i="1" s="1"/>
  <c r="D125" i="1"/>
  <c r="D90" i="1"/>
  <c r="H90" i="1" s="1"/>
  <c r="D89" i="1"/>
  <c r="H89" i="1" s="1"/>
  <c r="D100" i="1"/>
  <c r="H100" i="1" s="1"/>
  <c r="D96" i="1"/>
  <c r="H96" i="1" s="1"/>
  <c r="D102" i="1"/>
  <c r="H102" i="1" s="1"/>
  <c r="D107" i="1"/>
  <c r="H107" i="1" s="1"/>
  <c r="D106" i="1"/>
  <c r="H106" i="1" s="1"/>
  <c r="D112" i="1"/>
  <c r="H112" i="1" s="1"/>
  <c r="D119" i="1"/>
  <c r="H119" i="1" s="1"/>
  <c r="D123" i="1"/>
  <c r="H123" i="1" s="1"/>
  <c r="D23" i="1"/>
  <c r="H23" i="1" s="1"/>
  <c r="D33" i="1"/>
  <c r="H33" i="1" s="1"/>
  <c r="D38" i="1"/>
  <c r="H38" i="1" s="1"/>
  <c r="D36" i="1"/>
  <c r="H36" i="1" s="1"/>
  <c r="D44" i="1"/>
  <c r="H44" i="1" s="1"/>
  <c r="D49" i="1"/>
  <c r="H49" i="1" s="1"/>
  <c r="D61" i="1"/>
  <c r="H61" i="1" s="1"/>
  <c r="D47" i="1"/>
  <c r="H47" i="1" s="1"/>
  <c r="D99" i="1"/>
  <c r="H99" i="1" s="1"/>
  <c r="D152" i="1"/>
  <c r="D151" i="1"/>
  <c r="D153" i="1"/>
  <c r="D149" i="1"/>
  <c r="D150" i="1"/>
  <c r="D157" i="1"/>
  <c r="D160" i="1"/>
  <c r="D156" i="1"/>
  <c r="D154" i="1"/>
  <c r="D155" i="1"/>
  <c r="D159" i="1"/>
  <c r="D158" i="1"/>
  <c r="D161" i="1"/>
  <c r="D162" i="1"/>
  <c r="D54" i="1"/>
  <c r="H54" i="1" s="1"/>
  <c r="N91" i="1" l="1"/>
  <c r="O91" i="1" s="1"/>
  <c r="N62" i="1"/>
  <c r="O62" i="1" s="1"/>
  <c r="V21" i="1"/>
  <c r="L122" i="1"/>
  <c r="U122" i="1"/>
  <c r="L93" i="1"/>
  <c r="U93" i="1"/>
  <c r="L46" i="1"/>
  <c r="U46" i="1"/>
  <c r="U83" i="1"/>
  <c r="L83" i="1"/>
  <c r="U28" i="1"/>
  <c r="L28" i="1"/>
  <c r="L33" i="1"/>
  <c r="U33" i="1"/>
  <c r="U96" i="1"/>
  <c r="L96" i="1"/>
  <c r="U117" i="1"/>
  <c r="L117" i="1"/>
  <c r="U111" i="1"/>
  <c r="L111" i="1"/>
  <c r="U72" i="1"/>
  <c r="L72" i="1"/>
  <c r="U50" i="1"/>
  <c r="L50" i="1"/>
  <c r="U97" i="1"/>
  <c r="L97" i="1"/>
  <c r="U63" i="1"/>
  <c r="L63" i="1"/>
  <c r="U42" i="1"/>
  <c r="L42" i="1"/>
  <c r="U128" i="1"/>
  <c r="L128" i="1"/>
  <c r="L30" i="1"/>
  <c r="U30" i="1"/>
  <c r="U14" i="1"/>
  <c r="L14" i="1"/>
  <c r="U40" i="1"/>
  <c r="L40" i="1"/>
  <c r="L38" i="1"/>
  <c r="U38" i="1"/>
  <c r="L78" i="1"/>
  <c r="U78" i="1"/>
  <c r="L76" i="1"/>
  <c r="U76" i="1"/>
  <c r="L31" i="1"/>
  <c r="U31" i="1"/>
  <c r="L39" i="1"/>
  <c r="U39" i="1"/>
  <c r="U99" i="1"/>
  <c r="L99" i="1"/>
  <c r="L23" i="1"/>
  <c r="U23" i="1"/>
  <c r="U100" i="1"/>
  <c r="L100" i="1"/>
  <c r="U120" i="1"/>
  <c r="L120" i="1"/>
  <c r="L103" i="1"/>
  <c r="U103" i="1"/>
  <c r="U84" i="1"/>
  <c r="L84" i="1"/>
  <c r="U41" i="1"/>
  <c r="L41" i="1"/>
  <c r="H92" i="1"/>
  <c r="M92" i="1" s="1"/>
  <c r="U68" i="1"/>
  <c r="L68" i="1"/>
  <c r="L35" i="1"/>
  <c r="U35" i="1"/>
  <c r="H81" i="1"/>
  <c r="M81" i="1" s="1"/>
  <c r="N81" i="1" s="1"/>
  <c r="O81" i="1" s="1"/>
  <c r="U25" i="1"/>
  <c r="L25" i="1"/>
  <c r="L34" i="1"/>
  <c r="U34" i="1"/>
  <c r="Q98" i="1"/>
  <c r="H98" i="1"/>
  <c r="Z98" i="1" s="1"/>
  <c r="U54" i="1"/>
  <c r="L54" i="1"/>
  <c r="L118" i="1"/>
  <c r="U118" i="1"/>
  <c r="U85" i="1"/>
  <c r="L85" i="1"/>
  <c r="L24" i="1"/>
  <c r="U24" i="1"/>
  <c r="L43" i="1"/>
  <c r="U43" i="1"/>
  <c r="U61" i="1"/>
  <c r="L61" i="1"/>
  <c r="L119" i="1"/>
  <c r="U119" i="1"/>
  <c r="U90" i="1"/>
  <c r="L90" i="1"/>
  <c r="L115" i="1"/>
  <c r="U115" i="1"/>
  <c r="U37" i="1"/>
  <c r="L37" i="1"/>
  <c r="L64" i="1"/>
  <c r="U64" i="1"/>
  <c r="U105" i="1"/>
  <c r="L105" i="1"/>
  <c r="L86" i="1"/>
  <c r="U86" i="1"/>
  <c r="U45" i="1"/>
  <c r="L45" i="1"/>
  <c r="L22" i="1"/>
  <c r="U22" i="1"/>
  <c r="U67" i="1"/>
  <c r="L67" i="1"/>
  <c r="L17" i="1"/>
  <c r="U17" i="1"/>
  <c r="L26" i="1"/>
  <c r="U26" i="1"/>
  <c r="U53" i="1"/>
  <c r="L53" i="1"/>
  <c r="L108" i="1"/>
  <c r="U108" i="1"/>
  <c r="U123" i="1"/>
  <c r="L123" i="1"/>
  <c r="U71" i="1"/>
  <c r="L71" i="1"/>
  <c r="U80" i="1"/>
  <c r="L80" i="1"/>
  <c r="L112" i="1"/>
  <c r="U112" i="1"/>
  <c r="L113" i="1"/>
  <c r="U113" i="1"/>
  <c r="L65" i="1"/>
  <c r="U65" i="1"/>
  <c r="L87" i="1"/>
  <c r="U87" i="1"/>
  <c r="U82" i="1"/>
  <c r="L82" i="1"/>
  <c r="L32" i="1"/>
  <c r="U32" i="1"/>
  <c r="L15" i="1"/>
  <c r="U15" i="1"/>
  <c r="L66" i="1"/>
  <c r="U66" i="1"/>
  <c r="L18" i="1"/>
  <c r="U18" i="1"/>
  <c r="U27" i="1"/>
  <c r="L27" i="1"/>
  <c r="U69" i="1"/>
  <c r="L69" i="1"/>
  <c r="U102" i="1"/>
  <c r="L102" i="1"/>
  <c r="L47" i="1"/>
  <c r="U47" i="1"/>
  <c r="L104" i="1"/>
  <c r="U104" i="1"/>
  <c r="L59" i="1"/>
  <c r="U59" i="1"/>
  <c r="U49" i="1"/>
  <c r="L49" i="1"/>
  <c r="H125" i="1"/>
  <c r="P125" i="1" s="1"/>
  <c r="L44" i="1"/>
  <c r="U44" i="1"/>
  <c r="U106" i="1"/>
  <c r="L106" i="1"/>
  <c r="L124" i="1"/>
  <c r="U124" i="1"/>
  <c r="L114" i="1"/>
  <c r="U114" i="1"/>
  <c r="U57" i="1"/>
  <c r="L57" i="1"/>
  <c r="L101" i="1"/>
  <c r="U101" i="1"/>
  <c r="U77" i="1"/>
  <c r="L77" i="1"/>
  <c r="L74" i="1"/>
  <c r="U74" i="1"/>
  <c r="L16" i="1"/>
  <c r="U16" i="1"/>
  <c r="U52" i="1"/>
  <c r="L52" i="1"/>
  <c r="U79" i="1"/>
  <c r="L79" i="1"/>
  <c r="U48" i="1"/>
  <c r="L48" i="1"/>
  <c r="L56" i="1"/>
  <c r="U56" i="1"/>
  <c r="U89" i="1"/>
  <c r="L89" i="1"/>
  <c r="U116" i="1"/>
  <c r="L116" i="1"/>
  <c r="U29" i="1"/>
  <c r="L29" i="1"/>
  <c r="L70" i="1"/>
  <c r="U70" i="1"/>
  <c r="U36" i="1"/>
  <c r="L36" i="1"/>
  <c r="L107" i="1"/>
  <c r="U107" i="1"/>
  <c r="L121" i="1"/>
  <c r="U121" i="1"/>
  <c r="U110" i="1"/>
  <c r="L110" i="1"/>
  <c r="U88" i="1"/>
  <c r="L88" i="1"/>
  <c r="U55" i="1"/>
  <c r="L55" i="1"/>
  <c r="U95" i="1"/>
  <c r="L95" i="1"/>
  <c r="L73" i="1"/>
  <c r="U73" i="1"/>
  <c r="U58" i="1"/>
  <c r="L58" i="1"/>
  <c r="L94" i="1"/>
  <c r="U94" i="1"/>
  <c r="U51" i="1"/>
  <c r="L51" i="1"/>
  <c r="L19" i="1"/>
  <c r="U19" i="1"/>
  <c r="U60" i="1"/>
  <c r="L60" i="1"/>
  <c r="R125" i="1"/>
  <c r="Y138" i="1"/>
  <c r="Q138" i="1"/>
  <c r="Z65" i="1"/>
  <c r="R65" i="1"/>
  <c r="Z82" i="1"/>
  <c r="R82" i="1"/>
  <c r="Z15" i="1"/>
  <c r="R15" i="1"/>
  <c r="Z66" i="1"/>
  <c r="R66" i="1"/>
  <c r="Z27" i="1"/>
  <c r="R27" i="1"/>
  <c r="Z69" i="1"/>
  <c r="R69" i="1"/>
  <c r="Z44" i="1"/>
  <c r="R44" i="1"/>
  <c r="Z124" i="1"/>
  <c r="R124" i="1"/>
  <c r="Y136" i="1"/>
  <c r="Q136" i="1"/>
  <c r="Y132" i="1"/>
  <c r="Q132" i="1"/>
  <c r="Z57" i="1"/>
  <c r="R57" i="1"/>
  <c r="Z101" i="1"/>
  <c r="R101" i="1"/>
  <c r="Z77" i="1"/>
  <c r="R77" i="1"/>
  <c r="Z16" i="1"/>
  <c r="R16" i="1"/>
  <c r="Z52" i="1"/>
  <c r="R52" i="1"/>
  <c r="Z79" i="1"/>
  <c r="R79" i="1"/>
  <c r="Z48" i="1"/>
  <c r="R48" i="1"/>
  <c r="Z36" i="1"/>
  <c r="R36" i="1"/>
  <c r="Z107" i="1"/>
  <c r="R107" i="1"/>
  <c r="Z121" i="1"/>
  <c r="R121" i="1"/>
  <c r="Z110" i="1"/>
  <c r="R110" i="1"/>
  <c r="Y140" i="1"/>
  <c r="Q140" i="1"/>
  <c r="Z88" i="1"/>
  <c r="R88" i="1"/>
  <c r="Z55" i="1"/>
  <c r="R55" i="1"/>
  <c r="Z95" i="1"/>
  <c r="R95" i="1"/>
  <c r="Z73" i="1"/>
  <c r="R73" i="1"/>
  <c r="Z58" i="1"/>
  <c r="R58" i="1"/>
  <c r="Z94" i="1"/>
  <c r="R94" i="1"/>
  <c r="Z51" i="1"/>
  <c r="R51" i="1"/>
  <c r="Z19" i="1"/>
  <c r="R19" i="1"/>
  <c r="Z60" i="1"/>
  <c r="R60" i="1"/>
  <c r="Z122" i="1"/>
  <c r="R122" i="1"/>
  <c r="Z78" i="1"/>
  <c r="R78" i="1"/>
  <c r="Z76" i="1"/>
  <c r="R76" i="1"/>
  <c r="Z31" i="1"/>
  <c r="R31" i="1"/>
  <c r="Z33" i="1"/>
  <c r="R33" i="1"/>
  <c r="Z111" i="1"/>
  <c r="R111" i="1"/>
  <c r="Z63" i="1"/>
  <c r="R63" i="1"/>
  <c r="Z30" i="1"/>
  <c r="R30" i="1"/>
  <c r="Y137" i="1"/>
  <c r="Q137" i="1"/>
  <c r="Z112" i="1"/>
  <c r="R112" i="1"/>
  <c r="Z38" i="1"/>
  <c r="R38" i="1"/>
  <c r="Z108" i="1"/>
  <c r="R108" i="1"/>
  <c r="Z93" i="1"/>
  <c r="R93" i="1"/>
  <c r="Z83" i="1"/>
  <c r="R83" i="1"/>
  <c r="Z39" i="1"/>
  <c r="R39" i="1"/>
  <c r="Z117" i="1"/>
  <c r="R117" i="1"/>
  <c r="Z72" i="1"/>
  <c r="R72" i="1"/>
  <c r="Z50" i="1"/>
  <c r="R50" i="1"/>
  <c r="Z42" i="1"/>
  <c r="R42" i="1"/>
  <c r="Z14" i="1"/>
  <c r="R14" i="1"/>
  <c r="Z40" i="1"/>
  <c r="R40" i="1"/>
  <c r="Z23" i="1"/>
  <c r="R23" i="1"/>
  <c r="Z120" i="1"/>
  <c r="R120" i="1"/>
  <c r="Z84" i="1"/>
  <c r="R84" i="1"/>
  <c r="Z68" i="1"/>
  <c r="R68" i="1"/>
  <c r="R81" i="1"/>
  <c r="R98" i="1"/>
  <c r="Z54" i="1"/>
  <c r="R54" i="1"/>
  <c r="Z47" i="1"/>
  <c r="R47" i="1"/>
  <c r="Z123" i="1"/>
  <c r="R123" i="1"/>
  <c r="Z89" i="1"/>
  <c r="R89" i="1"/>
  <c r="Z118" i="1"/>
  <c r="R118" i="1"/>
  <c r="Z104" i="1"/>
  <c r="R104" i="1"/>
  <c r="Y135" i="1"/>
  <c r="Q135" i="1"/>
  <c r="Z71" i="1"/>
  <c r="R71" i="1"/>
  <c r="Z116" i="1"/>
  <c r="R116" i="1"/>
  <c r="Z85" i="1"/>
  <c r="R85" i="1"/>
  <c r="Z59" i="1"/>
  <c r="R59" i="1"/>
  <c r="Z29" i="1"/>
  <c r="R29" i="1"/>
  <c r="Z80" i="1"/>
  <c r="R80" i="1"/>
  <c r="Z24" i="1"/>
  <c r="R24" i="1"/>
  <c r="Z43" i="1"/>
  <c r="R43" i="1"/>
  <c r="Z70" i="1"/>
  <c r="R70" i="1"/>
  <c r="Z102" i="1"/>
  <c r="R102" i="1"/>
  <c r="Y141" i="1"/>
  <c r="Q141" i="1"/>
  <c r="Z56" i="1"/>
  <c r="R56" i="1"/>
  <c r="Z46" i="1"/>
  <c r="R46" i="1"/>
  <c r="Z28" i="1"/>
  <c r="R28" i="1"/>
  <c r="Z96" i="1"/>
  <c r="R96" i="1"/>
  <c r="Y139" i="1"/>
  <c r="Q139" i="1"/>
  <c r="Z97" i="1"/>
  <c r="R97" i="1"/>
  <c r="Z128" i="1"/>
  <c r="R128" i="1"/>
  <c r="Z99" i="1"/>
  <c r="R99" i="1"/>
  <c r="Z100" i="1"/>
  <c r="R100" i="1"/>
  <c r="Z103" i="1"/>
  <c r="R103" i="1"/>
  <c r="Z41" i="1"/>
  <c r="R41" i="1"/>
  <c r="R92" i="1"/>
  <c r="Z35" i="1"/>
  <c r="R35" i="1"/>
  <c r="Z25" i="1"/>
  <c r="R25" i="1"/>
  <c r="Z34" i="1"/>
  <c r="R34" i="1"/>
  <c r="Z61" i="1"/>
  <c r="R61" i="1"/>
  <c r="Z119" i="1"/>
  <c r="R119" i="1"/>
  <c r="Z90" i="1"/>
  <c r="R90" i="1"/>
  <c r="Z115" i="1"/>
  <c r="R115" i="1"/>
  <c r="Z37" i="1"/>
  <c r="R37" i="1"/>
  <c r="Y134" i="1"/>
  <c r="Q134" i="1"/>
  <c r="Z64" i="1"/>
  <c r="R64" i="1"/>
  <c r="Z105" i="1"/>
  <c r="R105" i="1"/>
  <c r="Z86" i="1"/>
  <c r="R86" i="1"/>
  <c r="Z45" i="1"/>
  <c r="R45" i="1"/>
  <c r="Z22" i="1"/>
  <c r="R22" i="1"/>
  <c r="Z67" i="1"/>
  <c r="R67" i="1"/>
  <c r="Z17" i="1"/>
  <c r="R17" i="1"/>
  <c r="Z26" i="1"/>
  <c r="R26" i="1"/>
  <c r="Z53" i="1"/>
  <c r="R53" i="1"/>
  <c r="M4" i="1"/>
  <c r="N4" i="1" s="1"/>
  <c r="U4" i="1"/>
  <c r="Z49" i="1"/>
  <c r="R49" i="1"/>
  <c r="Z113" i="1"/>
  <c r="R113" i="1"/>
  <c r="Y133" i="1"/>
  <c r="Q133" i="1"/>
  <c r="Z87" i="1"/>
  <c r="R87" i="1"/>
  <c r="Z32" i="1"/>
  <c r="R32" i="1"/>
  <c r="Z18" i="1"/>
  <c r="R18" i="1"/>
  <c r="Z106" i="1"/>
  <c r="R106" i="1"/>
  <c r="Z114" i="1"/>
  <c r="R114" i="1"/>
  <c r="Z74" i="1"/>
  <c r="R74" i="1"/>
  <c r="Y161" i="1"/>
  <c r="Q161" i="1"/>
  <c r="Y150" i="1"/>
  <c r="Q150" i="1"/>
  <c r="Y158" i="1"/>
  <c r="Q158" i="1"/>
  <c r="Y149" i="1"/>
  <c r="Q149" i="1"/>
  <c r="Y159" i="1"/>
  <c r="Q159" i="1"/>
  <c r="Y153" i="1"/>
  <c r="Q153" i="1"/>
  <c r="Y155" i="1"/>
  <c r="Q155" i="1"/>
  <c r="Y151" i="1"/>
  <c r="Q151" i="1"/>
  <c r="Y154" i="1"/>
  <c r="Q154" i="1"/>
  <c r="Y152" i="1"/>
  <c r="Q152" i="1"/>
  <c r="Y156" i="1"/>
  <c r="Q156" i="1"/>
  <c r="Y160" i="1"/>
  <c r="Q160" i="1"/>
  <c r="Y162" i="1"/>
  <c r="Q162" i="1"/>
  <c r="Y157" i="1"/>
  <c r="Q157" i="1"/>
  <c r="P84" i="1"/>
  <c r="P25" i="1"/>
  <c r="Q81" i="1"/>
  <c r="L134" i="1"/>
  <c r="U134" i="1" s="1"/>
  <c r="Q35" i="1"/>
  <c r="P35" i="1"/>
  <c r="Q34" i="1"/>
  <c r="M35" i="1"/>
  <c r="Q25" i="1"/>
  <c r="P93" i="1"/>
  <c r="M46" i="1"/>
  <c r="P31" i="1"/>
  <c r="P96" i="1"/>
  <c r="P128" i="1"/>
  <c r="M33" i="1"/>
  <c r="P42" i="1"/>
  <c r="M40" i="1"/>
  <c r="M25" i="1"/>
  <c r="P34" i="1"/>
  <c r="M104" i="1"/>
  <c r="Q24" i="1"/>
  <c r="P43" i="1"/>
  <c r="M18" i="1"/>
  <c r="Q59" i="1"/>
  <c r="M93" i="1"/>
  <c r="P70" i="1"/>
  <c r="M70" i="1"/>
  <c r="Q29" i="1"/>
  <c r="P39" i="1"/>
  <c r="Q42" i="1"/>
  <c r="P30" i="1"/>
  <c r="Q36" i="1"/>
  <c r="Q48" i="1"/>
  <c r="M38" i="1"/>
  <c r="Q88" i="1"/>
  <c r="Q54" i="1"/>
  <c r="P154" i="1"/>
  <c r="K152" i="1"/>
  <c r="Q33" i="1"/>
  <c r="Q117" i="1"/>
  <c r="Q111" i="1"/>
  <c r="K139" i="1"/>
  <c r="Q78" i="1"/>
  <c r="Q93" i="1"/>
  <c r="Q46" i="1"/>
  <c r="M83" i="1"/>
  <c r="Q31" i="1"/>
  <c r="Q39" i="1"/>
  <c r="L153" i="1"/>
  <c r="U153" i="1" s="1"/>
  <c r="L10" i="1"/>
  <c r="P52" i="1"/>
  <c r="P151" i="1"/>
  <c r="L141" i="1"/>
  <c r="U141" i="1" s="1"/>
  <c r="O156" i="1"/>
  <c r="M99" i="1"/>
  <c r="Q23" i="1"/>
  <c r="Q100" i="1"/>
  <c r="Q120" i="1"/>
  <c r="P137" i="1"/>
  <c r="M72" i="1"/>
  <c r="Q50" i="1"/>
  <c r="Q97" i="1"/>
  <c r="M42" i="1"/>
  <c r="Q128" i="1"/>
  <c r="Q30" i="1"/>
  <c r="K159" i="1"/>
  <c r="L140" i="1"/>
  <c r="U140" i="1" s="1"/>
  <c r="L155" i="1"/>
  <c r="U155" i="1" s="1"/>
  <c r="P73" i="1"/>
  <c r="P160" i="1"/>
  <c r="M123" i="1"/>
  <c r="M89" i="1"/>
  <c r="M118" i="1"/>
  <c r="L135" i="1"/>
  <c r="U135" i="1" s="1"/>
  <c r="Q84" i="1"/>
  <c r="M41" i="1"/>
  <c r="M68" i="1"/>
  <c r="M122" i="1"/>
  <c r="P95" i="1"/>
  <c r="P162" i="1"/>
  <c r="P157" i="1"/>
  <c r="Q61" i="1"/>
  <c r="P119" i="1"/>
  <c r="Q90" i="1"/>
  <c r="Q115" i="1"/>
  <c r="M37" i="1"/>
  <c r="P134" i="1"/>
  <c r="Q71" i="1"/>
  <c r="Q116" i="1"/>
  <c r="Q85" i="1"/>
  <c r="Q80" i="1"/>
  <c r="Q70" i="1"/>
  <c r="P74" i="1"/>
  <c r="Q102" i="1"/>
  <c r="M51" i="1"/>
  <c r="O161" i="1"/>
  <c r="P150" i="1"/>
  <c r="Q49" i="1"/>
  <c r="Q112" i="1"/>
  <c r="Q125" i="1"/>
  <c r="P113" i="1"/>
  <c r="P138" i="1"/>
  <c r="O133" i="1"/>
  <c r="P64" i="1"/>
  <c r="Q105" i="1"/>
  <c r="Q86" i="1"/>
  <c r="P45" i="1"/>
  <c r="M67" i="1"/>
  <c r="Q17" i="1"/>
  <c r="Q26" i="1"/>
  <c r="Q53" i="1"/>
  <c r="M107" i="1"/>
  <c r="Q58" i="1"/>
  <c r="K158" i="1"/>
  <c r="L149" i="1"/>
  <c r="U149" i="1" s="1"/>
  <c r="Q106" i="1"/>
  <c r="M114" i="1"/>
  <c r="P132" i="1"/>
  <c r="Q65" i="1"/>
  <c r="Q87" i="1"/>
  <c r="P32" i="1"/>
  <c r="Q27" i="1"/>
  <c r="Q69" i="1"/>
  <c r="Q68" i="1"/>
  <c r="M45" i="1"/>
  <c r="Q47" i="1"/>
  <c r="P37" i="1"/>
  <c r="Q37" i="1"/>
  <c r="P53" i="1"/>
  <c r="O152" i="1"/>
  <c r="M22" i="1"/>
  <c r="Q76" i="1"/>
  <c r="P111" i="1"/>
  <c r="P76" i="1"/>
  <c r="M76" i="1"/>
  <c r="P97" i="1"/>
  <c r="L160" i="1"/>
  <c r="U160" i="1" s="1"/>
  <c r="P87" i="1"/>
  <c r="M47" i="1"/>
  <c r="P68" i="1"/>
  <c r="Q41" i="1"/>
  <c r="M84" i="1"/>
  <c r="Q123" i="1"/>
  <c r="Q92" i="1"/>
  <c r="K135" i="1"/>
  <c r="Q118" i="1"/>
  <c r="M34" i="1"/>
  <c r="P41" i="1"/>
  <c r="P135" i="1"/>
  <c r="K160" i="1"/>
  <c r="L133" i="1"/>
  <c r="U133" i="1" s="1"/>
  <c r="P86" i="1"/>
  <c r="P105" i="1"/>
  <c r="L137" i="1"/>
  <c r="U137" i="1" s="1"/>
  <c r="M57" i="1"/>
  <c r="M87" i="1"/>
  <c r="M82" i="1"/>
  <c r="M15" i="1"/>
  <c r="O136" i="1"/>
  <c r="K132" i="1"/>
  <c r="M69" i="1"/>
  <c r="L136" i="1"/>
  <c r="U136" i="1" s="1"/>
  <c r="M32" i="1"/>
  <c r="M44" i="1"/>
  <c r="L154" i="1"/>
  <c r="U154" i="1" s="1"/>
  <c r="P56" i="1"/>
  <c r="K154" i="1"/>
  <c r="M78" i="1"/>
  <c r="P78" i="1"/>
  <c r="M96" i="1"/>
  <c r="M56" i="1"/>
  <c r="P71" i="1"/>
  <c r="Q56" i="1"/>
  <c r="Q104" i="1"/>
  <c r="Q89" i="1"/>
  <c r="K149" i="1"/>
  <c r="P27" i="1"/>
  <c r="Q119" i="1"/>
  <c r="Q43" i="1"/>
  <c r="M106" i="1"/>
  <c r="L156" i="1"/>
  <c r="U156" i="1" s="1"/>
  <c r="P65" i="1"/>
  <c r="M43" i="1"/>
  <c r="Q96" i="1"/>
  <c r="P26" i="1"/>
  <c r="M26" i="1"/>
  <c r="P120" i="1"/>
  <c r="P100" i="1"/>
  <c r="K156" i="1"/>
  <c r="P23" i="1"/>
  <c r="O153" i="1"/>
  <c r="M101" i="1"/>
  <c r="M121" i="1"/>
  <c r="M79" i="1"/>
  <c r="M77" i="1"/>
  <c r="M110" i="1"/>
  <c r="K153" i="1"/>
  <c r="P140" i="1"/>
  <c r="Q63" i="1"/>
  <c r="Q79" i="1"/>
  <c r="K10" i="1"/>
  <c r="P152" i="1"/>
  <c r="M16" i="1"/>
  <c r="P44" i="1"/>
  <c r="M100" i="1"/>
  <c r="M120" i="1"/>
  <c r="K136" i="1"/>
  <c r="O132" i="1"/>
  <c r="P82" i="1"/>
  <c r="M65" i="1"/>
  <c r="O138" i="1"/>
  <c r="P156" i="1"/>
  <c r="Q72" i="1"/>
  <c r="P103" i="1"/>
  <c r="O137" i="1"/>
  <c r="P66" i="1"/>
  <c r="P18" i="1"/>
  <c r="P124" i="1"/>
  <c r="P63" i="1"/>
  <c r="M27" i="1"/>
  <c r="P15" i="1"/>
  <c r="O158" i="1"/>
  <c r="K161" i="1"/>
  <c r="L158" i="1"/>
  <c r="U158" i="1" s="1"/>
  <c r="M111" i="1"/>
  <c r="P46" i="1"/>
  <c r="M39" i="1"/>
  <c r="Q113" i="1"/>
  <c r="Q22" i="1"/>
  <c r="K150" i="1"/>
  <c r="Q83" i="1"/>
  <c r="M94" i="1"/>
  <c r="P117" i="1"/>
  <c r="O139" i="1"/>
  <c r="M31" i="1"/>
  <c r="Q67" i="1"/>
  <c r="P139" i="1"/>
  <c r="O141" i="1"/>
  <c r="L152" i="1"/>
  <c r="U152" i="1" s="1"/>
  <c r="M117" i="1"/>
  <c r="L139" i="1"/>
  <c r="U139" i="1" s="1"/>
  <c r="P83" i="1"/>
  <c r="O154" i="1"/>
  <c r="P33" i="1"/>
  <c r="M86" i="1"/>
  <c r="P133" i="1"/>
  <c r="P49" i="1"/>
  <c r="K133" i="1"/>
  <c r="Q108" i="1"/>
  <c r="Q51" i="1"/>
  <c r="P161" i="1"/>
  <c r="Q64" i="1"/>
  <c r="M102" i="1"/>
  <c r="Q45" i="1"/>
  <c r="Q95" i="1"/>
  <c r="P122" i="1"/>
  <c r="O155" i="1"/>
  <c r="K155" i="1"/>
  <c r="K151" i="1"/>
  <c r="P108" i="1"/>
  <c r="K141" i="1"/>
  <c r="P94" i="1"/>
  <c r="M58" i="1"/>
  <c r="M73" i="1"/>
  <c r="L151" i="1"/>
  <c r="U151" i="1" s="1"/>
  <c r="P155" i="1"/>
  <c r="Q38" i="1"/>
  <c r="Q122" i="1"/>
  <c r="P141" i="1"/>
  <c r="Q55" i="1"/>
  <c r="Q73" i="1"/>
  <c r="Q94" i="1"/>
  <c r="P102" i="1"/>
  <c r="P38" i="1"/>
  <c r="M95" i="1"/>
  <c r="M55" i="1"/>
  <c r="M88" i="1"/>
  <c r="Q60" i="1"/>
  <c r="P55" i="1"/>
  <c r="P88" i="1"/>
  <c r="M108" i="1"/>
  <c r="O151" i="1"/>
  <c r="P58" i="1"/>
  <c r="P51" i="1"/>
  <c r="P99" i="1"/>
  <c r="P36" i="1"/>
  <c r="P106" i="1"/>
  <c r="M103" i="1"/>
  <c r="K140" i="1"/>
  <c r="L132" i="1"/>
  <c r="U132" i="1" s="1"/>
  <c r="L159" i="1"/>
  <c r="U159" i="1" s="1"/>
  <c r="M36" i="1"/>
  <c r="P158" i="1"/>
  <c r="P149" i="1"/>
  <c r="Q44" i="1"/>
  <c r="Q124" i="1"/>
  <c r="Q114" i="1"/>
  <c r="P136" i="1"/>
  <c r="Q82" i="1"/>
  <c r="Q32" i="1"/>
  <c r="Q15" i="1"/>
  <c r="Q66" i="1"/>
  <c r="Q18" i="1"/>
  <c r="M52" i="1"/>
  <c r="K137" i="1"/>
  <c r="P159" i="1"/>
  <c r="P153" i="1"/>
  <c r="Q107" i="1"/>
  <c r="Q121" i="1"/>
  <c r="Q110" i="1"/>
  <c r="P10" i="1"/>
  <c r="Q57" i="1"/>
  <c r="Q101" i="1"/>
  <c r="Q77" i="1"/>
  <c r="Q74" i="1"/>
  <c r="Q16" i="1"/>
  <c r="Q52" i="1"/>
  <c r="Q40" i="1"/>
  <c r="M23" i="1"/>
  <c r="P107" i="1"/>
  <c r="M124" i="1"/>
  <c r="P114" i="1"/>
  <c r="M128" i="1"/>
  <c r="M66" i="1"/>
  <c r="M50" i="1"/>
  <c r="P57" i="1"/>
  <c r="O149" i="1"/>
  <c r="O159" i="1"/>
  <c r="M30" i="1"/>
  <c r="Q99" i="1"/>
  <c r="Q103" i="1"/>
  <c r="M14" i="1"/>
  <c r="N14" i="1" s="1"/>
  <c r="M28" i="1"/>
  <c r="M19" i="1"/>
  <c r="P14" i="1"/>
  <c r="P28" i="1"/>
  <c r="P19" i="1"/>
  <c r="Q14" i="1"/>
  <c r="Q28" i="1"/>
  <c r="Q19" i="1"/>
  <c r="O157" i="1"/>
  <c r="P90" i="1"/>
  <c r="K134" i="1"/>
  <c r="P61" i="1"/>
  <c r="P115" i="1"/>
  <c r="M115" i="1"/>
  <c r="O162" i="1"/>
  <c r="P48" i="1"/>
  <c r="L138" i="1"/>
  <c r="U138" i="1" s="1"/>
  <c r="M105" i="1"/>
  <c r="P80" i="1"/>
  <c r="P60" i="1"/>
  <c r="L157" i="1"/>
  <c r="U157" i="1" s="1"/>
  <c r="M61" i="1"/>
  <c r="M119" i="1"/>
  <c r="M48" i="1"/>
  <c r="K162" i="1"/>
  <c r="M113" i="1"/>
  <c r="K138" i="1"/>
  <c r="M80" i="1"/>
  <c r="P67" i="1"/>
  <c r="O150" i="1"/>
  <c r="L162" i="1"/>
  <c r="U162" i="1" s="1"/>
  <c r="M90" i="1"/>
  <c r="K157" i="1"/>
  <c r="L161" i="1"/>
  <c r="U161" i="1" s="1"/>
  <c r="L150" i="1"/>
  <c r="U150" i="1" s="1"/>
  <c r="M49" i="1"/>
  <c r="M112" i="1"/>
  <c r="P116" i="1"/>
  <c r="P85" i="1"/>
  <c r="P59" i="1"/>
  <c r="P29" i="1"/>
  <c r="P24" i="1"/>
  <c r="M17" i="1"/>
  <c r="M71" i="1"/>
  <c r="P17" i="1"/>
  <c r="O134" i="1"/>
  <c r="M116" i="1"/>
  <c r="M85" i="1"/>
  <c r="M59" i="1"/>
  <c r="M29" i="1"/>
  <c r="M24" i="1"/>
  <c r="P112" i="1"/>
  <c r="O160" i="1"/>
  <c r="P47" i="1"/>
  <c r="P123" i="1"/>
  <c r="P89" i="1"/>
  <c r="P118" i="1"/>
  <c r="P104" i="1"/>
  <c r="O135" i="1"/>
  <c r="P101" i="1"/>
  <c r="M97" i="1"/>
  <c r="P77" i="1"/>
  <c r="M63" i="1"/>
  <c r="M74" i="1"/>
  <c r="M60" i="1"/>
  <c r="P22" i="1"/>
  <c r="P69" i="1"/>
  <c r="P50" i="1"/>
  <c r="M64" i="1"/>
  <c r="P72" i="1"/>
  <c r="P110" i="1"/>
  <c r="P79" i="1"/>
  <c r="P40" i="1"/>
  <c r="P16" i="1"/>
  <c r="M53" i="1"/>
  <c r="P121" i="1"/>
  <c r="O140" i="1"/>
  <c r="O10" i="1"/>
  <c r="P54" i="1"/>
  <c r="M54" i="1"/>
  <c r="K166" i="1"/>
  <c r="L166" i="1"/>
  <c r="O166" i="1"/>
  <c r="P166" i="1"/>
  <c r="P172" i="1"/>
  <c r="O172" i="1"/>
  <c r="L172" i="1"/>
  <c r="K172" i="1"/>
  <c r="P174" i="1"/>
  <c r="O174" i="1"/>
  <c r="L174" i="1"/>
  <c r="K174" i="1"/>
  <c r="Z81" i="1" l="1"/>
  <c r="P81" i="1"/>
  <c r="P98" i="1"/>
  <c r="M98" i="1"/>
  <c r="V98" i="1" s="1"/>
  <c r="Z125" i="1"/>
  <c r="Z92" i="1"/>
  <c r="P92" i="1"/>
  <c r="V81" i="1"/>
  <c r="U92" i="1"/>
  <c r="L92" i="1"/>
  <c r="U125" i="1"/>
  <c r="L125" i="1"/>
  <c r="U98" i="1"/>
  <c r="L98" i="1"/>
  <c r="L81" i="1"/>
  <c r="U81" i="1"/>
  <c r="M125" i="1"/>
  <c r="V125" i="1" s="1"/>
  <c r="V32" i="1"/>
  <c r="V104" i="1"/>
  <c r="V18" i="1"/>
  <c r="V123" i="1"/>
  <c r="V74" i="1"/>
  <c r="V86" i="1"/>
  <c r="V37" i="1"/>
  <c r="V61" i="1"/>
  <c r="V92" i="1"/>
  <c r="V99" i="1"/>
  <c r="V85" i="1"/>
  <c r="V47" i="1"/>
  <c r="V68" i="1"/>
  <c r="V40" i="1"/>
  <c r="V72" i="1"/>
  <c r="V93" i="1"/>
  <c r="V33" i="1"/>
  <c r="V122" i="1"/>
  <c r="V94" i="1"/>
  <c r="V55" i="1"/>
  <c r="V101" i="1"/>
  <c r="V66" i="1"/>
  <c r="V105" i="1"/>
  <c r="V84" i="1"/>
  <c r="V42" i="1"/>
  <c r="V49" i="1"/>
  <c r="V113" i="1"/>
  <c r="V26" i="1"/>
  <c r="V45" i="1"/>
  <c r="V119" i="1"/>
  <c r="V35" i="1"/>
  <c r="V100" i="1"/>
  <c r="V56" i="1"/>
  <c r="V43" i="1"/>
  <c r="V59" i="1"/>
  <c r="V23" i="1"/>
  <c r="V50" i="1"/>
  <c r="V83" i="1"/>
  <c r="V112" i="1"/>
  <c r="V111" i="1"/>
  <c r="V78" i="1"/>
  <c r="V51" i="1"/>
  <c r="V95" i="1"/>
  <c r="V110" i="1"/>
  <c r="V48" i="1"/>
  <c r="V77" i="1"/>
  <c r="V27" i="1"/>
  <c r="V65" i="1"/>
  <c r="V79" i="1"/>
  <c r="V114" i="1"/>
  <c r="V87" i="1"/>
  <c r="V67" i="1"/>
  <c r="V115" i="1"/>
  <c r="V41" i="1"/>
  <c r="V128" i="1"/>
  <c r="V28" i="1"/>
  <c r="V102" i="1"/>
  <c r="V80" i="1"/>
  <c r="V116" i="1"/>
  <c r="V118" i="1"/>
  <c r="V54" i="1"/>
  <c r="V14" i="1"/>
  <c r="V117" i="1"/>
  <c r="V108" i="1"/>
  <c r="V30" i="1"/>
  <c r="V31" i="1"/>
  <c r="V60" i="1"/>
  <c r="V58" i="1"/>
  <c r="V88" i="1"/>
  <c r="V107" i="1"/>
  <c r="V52" i="1"/>
  <c r="V57" i="1"/>
  <c r="V44" i="1"/>
  <c r="V15" i="1"/>
  <c r="V24" i="1"/>
  <c r="V124" i="1"/>
  <c r="V34" i="1"/>
  <c r="V17" i="1"/>
  <c r="V96" i="1"/>
  <c r="V106" i="1"/>
  <c r="V53" i="1"/>
  <c r="V22" i="1"/>
  <c r="V64" i="1"/>
  <c r="V90" i="1"/>
  <c r="V25" i="1"/>
  <c r="V103" i="1"/>
  <c r="V97" i="1"/>
  <c r="V46" i="1"/>
  <c r="V70" i="1"/>
  <c r="V29" i="1"/>
  <c r="V71" i="1"/>
  <c r="V89" i="1"/>
  <c r="V120" i="1"/>
  <c r="V39" i="1"/>
  <c r="V38" i="1"/>
  <c r="V63" i="1"/>
  <c r="V76" i="1"/>
  <c r="V19" i="1"/>
  <c r="V73" i="1"/>
  <c r="V36" i="1"/>
  <c r="V16" i="1"/>
  <c r="V69" i="1"/>
  <c r="V82" i="1"/>
  <c r="V121" i="1"/>
  <c r="N55" i="1"/>
  <c r="O55" i="1" s="1"/>
  <c r="N92" i="1"/>
  <c r="O92" i="1" s="1"/>
  <c r="N53" i="1"/>
  <c r="O53" i="1" s="1"/>
  <c r="N80" i="1"/>
  <c r="O80" i="1" s="1"/>
  <c r="N63" i="1"/>
  <c r="O63" i="1" s="1"/>
  <c r="N116" i="1"/>
  <c r="O116" i="1" s="1"/>
  <c r="N90" i="1"/>
  <c r="O90" i="1" s="1"/>
  <c r="N48" i="1"/>
  <c r="O48" i="1" s="1"/>
  <c r="N28" i="1"/>
  <c r="O28" i="1" s="1"/>
  <c r="N50" i="1"/>
  <c r="O50" i="1" s="1"/>
  <c r="N88" i="1"/>
  <c r="O88" i="1" s="1"/>
  <c r="N102" i="1"/>
  <c r="O102" i="1" s="1"/>
  <c r="N86" i="1"/>
  <c r="O86" i="1" s="1"/>
  <c r="N100" i="1"/>
  <c r="O100" i="1" s="1"/>
  <c r="N82" i="1"/>
  <c r="O82" i="1" s="1"/>
  <c r="N45" i="1"/>
  <c r="O45" i="1" s="1"/>
  <c r="N114" i="1"/>
  <c r="O114" i="1" s="1"/>
  <c r="N68" i="1"/>
  <c r="O68" i="1" s="1"/>
  <c r="N83" i="1"/>
  <c r="O83" i="1" s="1"/>
  <c r="N64" i="1"/>
  <c r="O64" i="1" s="1"/>
  <c r="N61" i="1"/>
  <c r="O61" i="1" s="1"/>
  <c r="N128" i="1"/>
  <c r="O128" i="1" s="1"/>
  <c r="N95" i="1"/>
  <c r="O95" i="1" s="1"/>
  <c r="N31" i="1"/>
  <c r="O31" i="1" s="1"/>
  <c r="N39" i="1"/>
  <c r="O39" i="1" s="1"/>
  <c r="N16" i="1"/>
  <c r="O16" i="1" s="1"/>
  <c r="N77" i="1"/>
  <c r="O77" i="1" s="1"/>
  <c r="N56" i="1"/>
  <c r="O56" i="1" s="1"/>
  <c r="N32" i="1"/>
  <c r="O32" i="1" s="1"/>
  <c r="N57" i="1"/>
  <c r="O57" i="1" s="1"/>
  <c r="N34" i="1"/>
  <c r="O34" i="1" s="1"/>
  <c r="N47" i="1"/>
  <c r="O47" i="1" s="1"/>
  <c r="N22" i="1"/>
  <c r="O22" i="1" s="1"/>
  <c r="N41" i="1"/>
  <c r="O41" i="1" s="1"/>
  <c r="N72" i="1"/>
  <c r="O72" i="1" s="1"/>
  <c r="N104" i="1"/>
  <c r="O104" i="1" s="1"/>
  <c r="O14" i="1"/>
  <c r="N106" i="1"/>
  <c r="O106" i="1" s="1"/>
  <c r="N67" i="1"/>
  <c r="O67" i="1" s="1"/>
  <c r="N97" i="1"/>
  <c r="O97" i="1" s="1"/>
  <c r="N71" i="1"/>
  <c r="O71" i="1" s="1"/>
  <c r="N112" i="1"/>
  <c r="O112" i="1" s="1"/>
  <c r="N115" i="1"/>
  <c r="O115" i="1" s="1"/>
  <c r="N65" i="1"/>
  <c r="O65" i="1" s="1"/>
  <c r="N79" i="1"/>
  <c r="O79" i="1" s="1"/>
  <c r="N26" i="1"/>
  <c r="O26" i="1" s="1"/>
  <c r="N96" i="1"/>
  <c r="O96" i="1" s="1"/>
  <c r="N70" i="1"/>
  <c r="O70" i="1" s="1"/>
  <c r="N46" i="1"/>
  <c r="O46" i="1" s="1"/>
  <c r="N17" i="1"/>
  <c r="O17" i="1" s="1"/>
  <c r="N30" i="1"/>
  <c r="O30" i="1" s="1"/>
  <c r="N124" i="1"/>
  <c r="O124" i="1" s="1"/>
  <c r="N108" i="1"/>
  <c r="O108" i="1" s="1"/>
  <c r="N111" i="1"/>
  <c r="O111" i="1" s="1"/>
  <c r="N121" i="1"/>
  <c r="O121" i="1" s="1"/>
  <c r="N69" i="1"/>
  <c r="O69" i="1" s="1"/>
  <c r="N38" i="1"/>
  <c r="O38" i="1" s="1"/>
  <c r="N25" i="1"/>
  <c r="O25" i="1" s="1"/>
  <c r="N66" i="1"/>
  <c r="O66" i="1" s="1"/>
  <c r="N110" i="1"/>
  <c r="O110" i="1" s="1"/>
  <c r="N29" i="1"/>
  <c r="O29" i="1" s="1"/>
  <c r="N52" i="1"/>
  <c r="O52" i="1" s="1"/>
  <c r="N103" i="1"/>
  <c r="O103" i="1" s="1"/>
  <c r="N73" i="1"/>
  <c r="O73" i="1" s="1"/>
  <c r="N117" i="1"/>
  <c r="O117" i="1" s="1"/>
  <c r="N94" i="1"/>
  <c r="O94" i="1" s="1"/>
  <c r="N101" i="1"/>
  <c r="O101" i="1" s="1"/>
  <c r="N78" i="1"/>
  <c r="O78" i="1" s="1"/>
  <c r="N107" i="1"/>
  <c r="O107" i="1" s="1"/>
  <c r="N118" i="1"/>
  <c r="O118" i="1" s="1"/>
  <c r="N93" i="1"/>
  <c r="O93" i="1" s="1"/>
  <c r="N40" i="1"/>
  <c r="O40" i="1" s="1"/>
  <c r="N36" i="1"/>
  <c r="O36" i="1" s="1"/>
  <c r="N27" i="1"/>
  <c r="O27" i="1" s="1"/>
  <c r="N44" i="1"/>
  <c r="O44" i="1" s="1"/>
  <c r="N49" i="1"/>
  <c r="O49" i="1" s="1"/>
  <c r="N59" i="1"/>
  <c r="O59" i="1" s="1"/>
  <c r="N113" i="1"/>
  <c r="O113" i="1" s="1"/>
  <c r="N23" i="1"/>
  <c r="O23" i="1" s="1"/>
  <c r="N58" i="1"/>
  <c r="O58" i="1" s="1"/>
  <c r="N43" i="1"/>
  <c r="O43" i="1" s="1"/>
  <c r="N76" i="1"/>
  <c r="O76" i="1" s="1"/>
  <c r="N51" i="1"/>
  <c r="O51" i="1" s="1"/>
  <c r="N89" i="1"/>
  <c r="O89" i="1" s="1"/>
  <c r="N35" i="1"/>
  <c r="O35" i="1" s="1"/>
  <c r="N119" i="1"/>
  <c r="O119" i="1" s="1"/>
  <c r="N87" i="1"/>
  <c r="O87" i="1" s="1"/>
  <c r="N24" i="1"/>
  <c r="O24" i="1" s="1"/>
  <c r="N60" i="1"/>
  <c r="O60" i="1" s="1"/>
  <c r="N54" i="1"/>
  <c r="O54" i="1" s="1"/>
  <c r="N74" i="1"/>
  <c r="O74" i="1" s="1"/>
  <c r="N85" i="1"/>
  <c r="O85" i="1" s="1"/>
  <c r="N105" i="1"/>
  <c r="O105" i="1" s="1"/>
  <c r="N19" i="1"/>
  <c r="O19" i="1" s="1"/>
  <c r="N120" i="1"/>
  <c r="O120" i="1" s="1"/>
  <c r="N15" i="1"/>
  <c r="O15" i="1" s="1"/>
  <c r="N84" i="1"/>
  <c r="O84" i="1" s="1"/>
  <c r="N37" i="1"/>
  <c r="O37" i="1" s="1"/>
  <c r="N122" i="1"/>
  <c r="O122" i="1" s="1"/>
  <c r="N123" i="1"/>
  <c r="O123" i="1" s="1"/>
  <c r="N42" i="1"/>
  <c r="O42" i="1" s="1"/>
  <c r="N99" i="1"/>
  <c r="O99" i="1" s="1"/>
  <c r="N18" i="1"/>
  <c r="O18" i="1" s="1"/>
  <c r="N33" i="1"/>
  <c r="O33" i="1" s="1"/>
  <c r="M10" i="1"/>
  <c r="N10" i="1" s="1"/>
  <c r="U10" i="1"/>
  <c r="M172" i="1"/>
  <c r="N172" i="1" s="1"/>
  <c r="U172" i="1"/>
  <c r="M174" i="1"/>
  <c r="N174" i="1" s="1"/>
  <c r="U174" i="1"/>
  <c r="M166" i="1"/>
  <c r="N166" i="1" s="1"/>
  <c r="U166" i="1"/>
  <c r="M135" i="1"/>
  <c r="N135" i="1" s="1"/>
  <c r="M137" i="1"/>
  <c r="N137" i="1" s="1"/>
  <c r="M149" i="1"/>
  <c r="N149" i="1" s="1"/>
  <c r="M140" i="1"/>
  <c r="N140" i="1" s="1"/>
  <c r="M155" i="1"/>
  <c r="N155" i="1" s="1"/>
  <c r="M162" i="1"/>
  <c r="N162" i="1" s="1"/>
  <c r="M150" i="1"/>
  <c r="N150" i="1" s="1"/>
  <c r="M154" i="1"/>
  <c r="N154" i="1" s="1"/>
  <c r="M151" i="1"/>
  <c r="N151" i="1" s="1"/>
  <c r="M161" i="1"/>
  <c r="N161" i="1" s="1"/>
  <c r="M158" i="1"/>
  <c r="N158" i="1" s="1"/>
  <c r="M138" i="1"/>
  <c r="N138" i="1" s="1"/>
  <c r="M139" i="1"/>
  <c r="N139" i="1" s="1"/>
  <c r="M157" i="1"/>
  <c r="N157" i="1" s="1"/>
  <c r="M152" i="1"/>
  <c r="N152" i="1" s="1"/>
  <c r="M156" i="1"/>
  <c r="N156" i="1" s="1"/>
  <c r="M141" i="1"/>
  <c r="N141" i="1" s="1"/>
  <c r="M153" i="1"/>
  <c r="N153" i="1" s="1"/>
  <c r="M133" i="1"/>
  <c r="N133" i="1" s="1"/>
  <c r="M159" i="1"/>
  <c r="N159" i="1" s="1"/>
  <c r="M132" i="1"/>
  <c r="N132" i="1" s="1"/>
  <c r="M136" i="1"/>
  <c r="N136" i="1" s="1"/>
  <c r="M160" i="1"/>
  <c r="N160" i="1" s="1"/>
  <c r="M134" i="1"/>
  <c r="N134" i="1" s="1"/>
  <c r="K167" i="1"/>
  <c r="L167" i="1"/>
  <c r="O167" i="1"/>
  <c r="P168" i="1"/>
  <c r="P167" i="1"/>
  <c r="L168" i="1"/>
  <c r="O168" i="1"/>
  <c r="K168" i="1"/>
  <c r="P171" i="1"/>
  <c r="O171" i="1"/>
  <c r="L171" i="1"/>
  <c r="K171" i="1"/>
  <c r="P169" i="1"/>
  <c r="P173" i="1"/>
  <c r="P175" i="1"/>
  <c r="P170" i="1"/>
  <c r="K169" i="1"/>
  <c r="L169" i="1"/>
  <c r="O169" i="1"/>
  <c r="K173" i="1"/>
  <c r="L173" i="1"/>
  <c r="O173" i="1"/>
  <c r="K175" i="1"/>
  <c r="L175" i="1"/>
  <c r="O175" i="1"/>
  <c r="O170" i="1"/>
  <c r="L170" i="1"/>
  <c r="K170" i="1"/>
  <c r="N98" i="1" l="1"/>
  <c r="O98" i="1" s="1"/>
  <c r="N125" i="1"/>
  <c r="O125" i="1" s="1"/>
  <c r="M173" i="1"/>
  <c r="N173" i="1" s="1"/>
  <c r="U173" i="1"/>
  <c r="M170" i="1"/>
  <c r="N170" i="1" s="1"/>
  <c r="U170" i="1"/>
  <c r="M169" i="1"/>
  <c r="N169" i="1" s="1"/>
  <c r="U169" i="1"/>
  <c r="M167" i="1"/>
  <c r="N167" i="1" s="1"/>
  <c r="U167" i="1"/>
  <c r="M171" i="1"/>
  <c r="N171" i="1" s="1"/>
  <c r="U171" i="1"/>
  <c r="M175" i="1"/>
  <c r="N175" i="1" s="1"/>
  <c r="U175" i="1"/>
  <c r="M168" i="1"/>
  <c r="N168" i="1" s="1"/>
  <c r="U168" i="1"/>
  <c r="K4" i="1" l="1"/>
  <c r="K5" i="1"/>
</calcChain>
</file>

<file path=xl/comments1.xml><?xml version="1.0" encoding="utf-8"?>
<comments xmlns="http://schemas.openxmlformats.org/spreadsheetml/2006/main">
  <authors>
    <author>Steven Wolf</author>
  </authors>
  <commentList>
    <comment ref="E15" authorId="0" shapeId="0">
      <text>
        <r>
          <rPr>
            <b/>
            <sz val="9"/>
            <color indexed="81"/>
            <rFont val="Tahoma"/>
            <charset val="1"/>
          </rPr>
          <t>Steven Wolf:</t>
        </r>
        <r>
          <rPr>
            <sz val="9"/>
            <color indexed="81"/>
            <rFont val="Tahoma"/>
            <charset val="1"/>
          </rPr>
          <t xml:space="preserve">
Uses Alpha-Strike as an alt way of deriving damage rating</t>
        </r>
      </text>
    </comment>
  </commentList>
</comments>
</file>

<file path=xl/sharedStrings.xml><?xml version="1.0" encoding="utf-8"?>
<sst xmlns="http://schemas.openxmlformats.org/spreadsheetml/2006/main" count="900" uniqueCount="324">
  <si>
    <t>Weapon</t>
  </si>
  <si>
    <t>AP Stormer</t>
  </si>
  <si>
    <t>Heavy Driver</t>
  </si>
  <si>
    <t>AP Gauss</t>
  </si>
  <si>
    <t>Burster</t>
  </si>
  <si>
    <t>Gauss</t>
  </si>
  <si>
    <t>Heavy Stormer</t>
  </si>
  <si>
    <t>Rail Cannon</t>
  </si>
  <si>
    <t>Stormer</t>
  </si>
  <si>
    <t>Beamer, UV</t>
  </si>
  <si>
    <t>Beamer, X-Ray</t>
  </si>
  <si>
    <t>Laser, UV</t>
  </si>
  <si>
    <t>Laser, X-Ray</t>
  </si>
  <si>
    <t>Heavy Phaser</t>
  </si>
  <si>
    <t>Heavy Pulsed Phaser</t>
  </si>
  <si>
    <t>Type</t>
  </si>
  <si>
    <t>Ballistic</t>
  </si>
  <si>
    <t>Laser</t>
  </si>
  <si>
    <t>Driver</t>
  </si>
  <si>
    <t>Beam</t>
  </si>
  <si>
    <t>Burster @ 25%</t>
  </si>
  <si>
    <t>Burster Shell</t>
  </si>
  <si>
    <t>Laser PD</t>
  </si>
  <si>
    <t>Gauss PD</t>
  </si>
  <si>
    <t>Beamer PD</t>
  </si>
  <si>
    <t>Missile</t>
  </si>
  <si>
    <t>Emitter</t>
  </si>
  <si>
    <t>Emitter PD</t>
  </si>
  <si>
    <t>Phaser PD</t>
  </si>
  <si>
    <t>Pulsed Phaser PD</t>
  </si>
  <si>
    <t>Point Defense Weapons</t>
  </si>
  <si>
    <t>Standard Weapons</t>
  </si>
  <si>
    <t>Non-Standard Weapons</t>
  </si>
  <si>
    <t>Tractor Beam</t>
  </si>
  <si>
    <t>Meson</t>
  </si>
  <si>
    <t>Meson Beam</t>
  </si>
  <si>
    <t>Neutron Beam</t>
  </si>
  <si>
    <t>Particle Beam</t>
  </si>
  <si>
    <t>Positron Beam</t>
  </si>
  <si>
    <t>Pulsed Gravity Beam</t>
  </si>
  <si>
    <t>Fusion Cannon</t>
  </si>
  <si>
    <t>Plasma Cannon</t>
  </si>
  <si>
    <t>Antimatter Cannon</t>
  </si>
  <si>
    <t>Heavy Antimatter Cannon</t>
  </si>
  <si>
    <t>Heavy Fusion Cannon</t>
  </si>
  <si>
    <t>Heavy Plasma Cannon</t>
  </si>
  <si>
    <t>Inertial</t>
  </si>
  <si>
    <t>Inertial Cannon</t>
  </si>
  <si>
    <t>Heavy Inertial Cannon</t>
  </si>
  <si>
    <t>Projector</t>
  </si>
  <si>
    <t>Antimatter Projector</t>
  </si>
  <si>
    <t>Fusion Projector</t>
  </si>
  <si>
    <t>Plasma Projector</t>
  </si>
  <si>
    <t>Disruptor</t>
  </si>
  <si>
    <t>Disruptor Projector</t>
  </si>
  <si>
    <t>Medium</t>
  </si>
  <si>
    <t>Medium Emitter</t>
  </si>
  <si>
    <t>Heavy Emitter</t>
  </si>
  <si>
    <t>Shotgun PD</t>
  </si>
  <si>
    <t>frate</t>
  </si>
  <si>
    <t>dam</t>
  </si>
  <si>
    <t>acc</t>
  </si>
  <si>
    <t>Light Emitter</t>
  </si>
  <si>
    <t>Emitter Projector</t>
  </si>
  <si>
    <t>Mount</t>
  </si>
  <si>
    <t>Spinal</t>
  </si>
  <si>
    <t>Rail Gun</t>
  </si>
  <si>
    <t>Pulsed Laser</t>
  </si>
  <si>
    <t>Beamer</t>
  </si>
  <si>
    <t>Beamer, Improved</t>
  </si>
  <si>
    <t>Laser, Improved</t>
  </si>
  <si>
    <t>Small</t>
  </si>
  <si>
    <t>Large</t>
  </si>
  <si>
    <t>Spinal Emitter</t>
  </si>
  <si>
    <t>Spinal Pulsed Gravity Beam</t>
  </si>
  <si>
    <t>Spinal Positron Beam</t>
  </si>
  <si>
    <t>Spinal Heavy Driver</t>
  </si>
  <si>
    <t>Spinal Heavy Stormer</t>
  </si>
  <si>
    <t>Spinal Meson Beam</t>
  </si>
  <si>
    <t>Spinal Neutron Beam</t>
  </si>
  <si>
    <t>Spinal Particle Beam</t>
  </si>
  <si>
    <t>Polarized Plasma</t>
  </si>
  <si>
    <t>Polarized Fusion</t>
  </si>
  <si>
    <t>Polarized Antimatter</t>
  </si>
  <si>
    <t>Energy</t>
  </si>
  <si>
    <t>Heavy Autocannon</t>
  </si>
  <si>
    <t>Light Autocannon</t>
  </si>
  <si>
    <t>Medium Autocannon</t>
  </si>
  <si>
    <t>VRF</t>
  </si>
  <si>
    <t>Heavy Sniper Driver</t>
  </si>
  <si>
    <t>Huge Stormer</t>
  </si>
  <si>
    <t>Huge AP Stormer</t>
  </si>
  <si>
    <t>Heavy AP Stormer</t>
  </si>
  <si>
    <t>Heavy AP Driver</t>
  </si>
  <si>
    <t>Medium AP Driver</t>
  </si>
  <si>
    <t>Spinal Heavy Sniper Driver</t>
  </si>
  <si>
    <t>Spinal Heavy AP Driver</t>
  </si>
  <si>
    <t>Spinal Heavy AP Stormer</t>
  </si>
  <si>
    <t>Medium Driver</t>
  </si>
  <si>
    <t>Medium Sniper Driver</t>
  </si>
  <si>
    <t>Thumper</t>
  </si>
  <si>
    <t>Meson Emitter</t>
  </si>
  <si>
    <t>Spinal Fusion Cannon</t>
  </si>
  <si>
    <t>Polarized Antimatter Projector</t>
  </si>
  <si>
    <t>Polarized Fusion Projector</t>
  </si>
  <si>
    <t>Polarized Plasma Projector</t>
  </si>
  <si>
    <t>Polarized Heavy Antimatter Cannon</t>
  </si>
  <si>
    <t>Polarized Heavy Fusion Cannon</t>
  </si>
  <si>
    <t>Polarized Heavy Plasma Cannon</t>
  </si>
  <si>
    <t>Heavy Disruptor</t>
  </si>
  <si>
    <t>Heavy Disruptor Cannon</t>
  </si>
  <si>
    <t>Heavy Beam</t>
  </si>
  <si>
    <t>Spinal HCL</t>
  </si>
  <si>
    <t>HCL</t>
  </si>
  <si>
    <t>Lancer</t>
  </si>
  <si>
    <t>Spinal Lancer</t>
  </si>
  <si>
    <t>Cutting Beam</t>
  </si>
  <si>
    <t>Spinal Cutting Beam</t>
  </si>
  <si>
    <t>Torpedo</t>
  </si>
  <si>
    <t>EM Pulsar</t>
  </si>
  <si>
    <t>Pulsar</t>
  </si>
  <si>
    <t>Gluonic Torpedo</t>
  </si>
  <si>
    <t>Direct Fire Torpedo</t>
  </si>
  <si>
    <t>Kelvenic Torpedo</t>
  </si>
  <si>
    <t>Mesonic Torpedo</t>
  </si>
  <si>
    <t>Photon</t>
  </si>
  <si>
    <t>Photon 2</t>
  </si>
  <si>
    <t>Photon 3</t>
  </si>
  <si>
    <t>Plasma Torpedo</t>
  </si>
  <si>
    <t>Disruptor Torpedo</t>
  </si>
  <si>
    <t>Fusion Torpedo</t>
  </si>
  <si>
    <t>Antimatter Torpedo</t>
  </si>
  <si>
    <t>Fusion Detonating Torpedo</t>
  </si>
  <si>
    <t>Antimatter Detonating Torpedo</t>
  </si>
  <si>
    <t>Gravity Beam</t>
  </si>
  <si>
    <t>Spinal Gravity Beam</t>
  </si>
  <si>
    <t>Dual Light Autocannon</t>
  </si>
  <si>
    <t>Dual Laser, X-Ray</t>
  </si>
  <si>
    <t>Dual Beamer, X-Ray</t>
  </si>
  <si>
    <t>Dual Beamer, UV</t>
  </si>
  <si>
    <t>Dual Laser, UV</t>
  </si>
  <si>
    <t>Dual Gauss</t>
  </si>
  <si>
    <t>Dual AP Gauss</t>
  </si>
  <si>
    <t>Barrels</t>
  </si>
  <si>
    <t>Dual Antimatter Cannon</t>
  </si>
  <si>
    <t>Dual Polarized Antimatter</t>
  </si>
  <si>
    <t>Dual Heavy Phaser</t>
  </si>
  <si>
    <t>Dual Heavy Pulsed Phaser</t>
  </si>
  <si>
    <t>Dual Fusion Cannon</t>
  </si>
  <si>
    <t>Dual Polarized Fusion</t>
  </si>
  <si>
    <t>Dual Medium Driver</t>
  </si>
  <si>
    <t>Dual Plasma Cannon</t>
  </si>
  <si>
    <t>Dual Polarized Plasma</t>
  </si>
  <si>
    <t>Dual Medium Autocannon</t>
  </si>
  <si>
    <t>Dual Medium AP Driver</t>
  </si>
  <si>
    <t>Dual Medium Sniper Driver</t>
  </si>
  <si>
    <t>Dual Heavy Autocannon</t>
  </si>
  <si>
    <t>Dual Heavy Driver</t>
  </si>
  <si>
    <t>Dual Heavy Sniper Driver</t>
  </si>
  <si>
    <t>Dual Heavy AP Driver</t>
  </si>
  <si>
    <t>Triple Heavy Driver</t>
  </si>
  <si>
    <t>Triple Heavy Sniper Driver</t>
  </si>
  <si>
    <t>Triple Heavy AP Driver</t>
  </si>
  <si>
    <t>Autocannon</t>
  </si>
  <si>
    <t>N</t>
  </si>
  <si>
    <t>est</t>
  </si>
  <si>
    <t>est'</t>
  </si>
  <si>
    <t>Light Pulsed Phaser</t>
  </si>
  <si>
    <t>Dual Light Pulsed Phaser</t>
  </si>
  <si>
    <t>Dual Light Phaser</t>
  </si>
  <si>
    <t>Light Phaser</t>
  </si>
  <si>
    <t>Disruptor Bolt</t>
  </si>
  <si>
    <t>D/Hit</t>
  </si>
  <si>
    <t>Burst</t>
  </si>
  <si>
    <t>MxRge</t>
  </si>
  <si>
    <t>Shots/s</t>
  </si>
  <si>
    <t>Interceptor PD (Nuke)</t>
  </si>
  <si>
    <t>Interceptor PD (Fusion)</t>
  </si>
  <si>
    <t>Interceptor PD (Antimatter)</t>
  </si>
  <si>
    <t>Tiny</t>
  </si>
  <si>
    <t>Eff-Dmg</t>
  </si>
  <si>
    <t>LR-Dmg</t>
  </si>
  <si>
    <t>PB-dps</t>
  </si>
  <si>
    <t>LR-dps</t>
  </si>
  <si>
    <t>PB-dmg</t>
  </si>
  <si>
    <t>Cycle(s)</t>
  </si>
  <si>
    <t>Eff-dps</t>
  </si>
  <si>
    <t>rng</t>
  </si>
  <si>
    <t>Torpedo Weapons</t>
  </si>
  <si>
    <t>Large Weapon Damage Table</t>
  </si>
  <si>
    <t>Medium Weapon Damage Table</t>
  </si>
  <si>
    <t>Small Weapon Damage Table</t>
  </si>
  <si>
    <t>Projector Weapon Damage Table</t>
  </si>
  <si>
    <t>Torpedo Weapon Damage Table</t>
  </si>
  <si>
    <t>Standard F-Rates</t>
  </si>
  <si>
    <t>Standard Range Table</t>
  </si>
  <si>
    <t>vol-dev</t>
  </si>
  <si>
    <t>eff-dev</t>
  </si>
  <si>
    <t>Standard Accuracy Table</t>
  </si>
  <si>
    <t>Alpha*</t>
  </si>
  <si>
    <t>Sub-Munitions</t>
  </si>
  <si>
    <t>Gauss Sniper Cannon</t>
  </si>
  <si>
    <t>Dual Gauss Sniper Cannon</t>
  </si>
  <si>
    <t>Grapple</t>
  </si>
  <si>
    <t>Disruptor Grapple</t>
  </si>
  <si>
    <t>Shield Burster Submunition</t>
  </si>
  <si>
    <t>Burster Submunitions</t>
  </si>
  <si>
    <t>Spinal Plasma Heavy Cannon</t>
  </si>
  <si>
    <t>Spinal Heavy Antimatter Cannon</t>
  </si>
  <si>
    <t>Shield Burster @ 25%</t>
  </si>
  <si>
    <t>Shield Breaker Driver</t>
  </si>
  <si>
    <t>Leech Round Driver</t>
  </si>
  <si>
    <t>Spinal Burster @ 25%</t>
  </si>
  <si>
    <t>Rating</t>
  </si>
  <si>
    <t>Mines</t>
  </si>
  <si>
    <t>Mine</t>
  </si>
  <si>
    <t>Nuke</t>
  </si>
  <si>
    <t>Fusion</t>
  </si>
  <si>
    <t>Fusion Leap</t>
  </si>
  <si>
    <t>Fusion Cloaked</t>
  </si>
  <si>
    <t>Antimatter</t>
  </si>
  <si>
    <t>Antimatter Leap</t>
  </si>
  <si>
    <t>Antimatter Cloak</t>
  </si>
  <si>
    <t>Gravity</t>
  </si>
  <si>
    <t>Implosion</t>
  </si>
  <si>
    <t>Shaped</t>
  </si>
  <si>
    <t>Gamma</t>
  </si>
  <si>
    <t>Standard</t>
  </si>
  <si>
    <t>Heavy</t>
  </si>
  <si>
    <t>Multiwarhead</t>
  </si>
  <si>
    <t>Fast, Heavy</t>
  </si>
  <si>
    <t>Fast, MW</t>
  </si>
  <si>
    <t>Corrosive</t>
  </si>
  <si>
    <t>Nanite</t>
  </si>
  <si>
    <t>Kinetic-Kill</t>
  </si>
  <si>
    <t>TTL</t>
  </si>
  <si>
    <t>SPD</t>
  </si>
  <si>
    <t>Whds</t>
  </si>
  <si>
    <t>Fast, Standard</t>
  </si>
  <si>
    <t>Warhead</t>
  </si>
  <si>
    <t>dps</t>
  </si>
  <si>
    <t>seek_atn</t>
  </si>
  <si>
    <t>Missile Damage Table</t>
  </si>
  <si>
    <t>Health</t>
  </si>
  <si>
    <t>Dur</t>
  </si>
  <si>
    <t>Dmg</t>
  </si>
  <si>
    <t>Warhead Missiles</t>
  </si>
  <si>
    <t>Other Missiles</t>
  </si>
  <si>
    <t>Direct Fire</t>
  </si>
  <si>
    <t>Dual Standard</t>
  </si>
  <si>
    <t>Dual Heavy</t>
  </si>
  <si>
    <t>Dual Multiwarhead</t>
  </si>
  <si>
    <t>Dual Fast, Standard</t>
  </si>
  <si>
    <t>Dual Fast, Heavy</t>
  </si>
  <si>
    <t>Dual Fast, MW</t>
  </si>
  <si>
    <t>Dual Direct Fire</t>
  </si>
  <si>
    <t>Node Missile</t>
  </si>
  <si>
    <t>Dual Projector</t>
  </si>
  <si>
    <t>-</t>
  </si>
  <si>
    <t>Mass</t>
  </si>
  <si>
    <t>Planetary</t>
  </si>
  <si>
    <t>Planet</t>
  </si>
  <si>
    <t>Dual Projector, Fast</t>
  </si>
  <si>
    <t>Planetary, Heavy</t>
  </si>
  <si>
    <t>Planetary, MW</t>
  </si>
  <si>
    <t xml:space="preserve"> Mass</t>
  </si>
  <si>
    <t>Dps</t>
  </si>
  <si>
    <t>Mine Dmg Table</t>
  </si>
  <si>
    <t>dam-r</t>
  </si>
  <si>
    <t>effect-r</t>
  </si>
  <si>
    <t>speed</t>
  </si>
  <si>
    <t>mine range table</t>
  </si>
  <si>
    <t>rating</t>
  </si>
  <si>
    <t>grav-r</t>
  </si>
  <si>
    <t>alt-d</t>
  </si>
  <si>
    <t>sml</t>
  </si>
  <si>
    <t>Alpha-Strike Damage Table</t>
  </si>
  <si>
    <t>dev</t>
  </si>
  <si>
    <t>Dual Corrosive</t>
  </si>
  <si>
    <t>Dual Nanite</t>
  </si>
  <si>
    <t>Dual Small</t>
  </si>
  <si>
    <t>Small, Fast</t>
  </si>
  <si>
    <t>Dual Small, Fast</t>
  </si>
  <si>
    <t>Human</t>
  </si>
  <si>
    <t>Hiver</t>
  </si>
  <si>
    <t>Tarkas</t>
  </si>
  <si>
    <t>Liir</t>
  </si>
  <si>
    <t>Zuul</t>
  </si>
  <si>
    <t>Morrigi</t>
  </si>
  <si>
    <t>Lasers</t>
  </si>
  <si>
    <t>Beamers</t>
  </si>
  <si>
    <t>Ballistics</t>
  </si>
  <si>
    <t>Autocannons</t>
  </si>
  <si>
    <t>Stormers</t>
  </si>
  <si>
    <t>Heavy Beams</t>
  </si>
  <si>
    <t>Emitters</t>
  </si>
  <si>
    <t>Gluonic Torpedos</t>
  </si>
  <si>
    <t>Photon Torpedos</t>
  </si>
  <si>
    <t>Plasma Torpedos</t>
  </si>
  <si>
    <t>Disruptor Torpedos</t>
  </si>
  <si>
    <t>Disruptor/Inertial Cannons</t>
  </si>
  <si>
    <t>Plasma Cannons</t>
  </si>
  <si>
    <t>Drones</t>
  </si>
  <si>
    <t>COL</t>
  </si>
  <si>
    <t>Deflective Armor</t>
  </si>
  <si>
    <t>Reflective Armor</t>
  </si>
  <si>
    <t>Quick-Recharge Shields</t>
  </si>
  <si>
    <t>Heavy Shields</t>
  </si>
  <si>
    <t>Deflecting Shields</t>
  </si>
  <si>
    <t>Disruptor Shields</t>
  </si>
  <si>
    <t>Stealth</t>
  </si>
  <si>
    <t>Cloaking</t>
  </si>
  <si>
    <t>Plague</t>
  </si>
  <si>
    <t>Tech Affinity</t>
  </si>
  <si>
    <t>Combat Beams</t>
  </si>
  <si>
    <t>Corrosives (Mine/Missile)</t>
  </si>
  <si>
    <t>Nanites (Mine/Missile)</t>
  </si>
  <si>
    <t>Warhead Mines</t>
  </si>
  <si>
    <t>Dumbfire Missiles</t>
  </si>
  <si>
    <t>Recharge</t>
  </si>
  <si>
    <t>Huge Weapons</t>
  </si>
  <si>
    <t>Huge Mass Driver x3</t>
  </si>
  <si>
    <t>Huge Pulsed Phaser</t>
  </si>
  <si>
    <t>Huge Sustained Phaser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</si>
</sst>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sz val="18"/>
      <name val="Calibri Light"/>
      <family val="2"/>
      <scheme val="maj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i/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theme="9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2" fillId="2" borderId="2" applyNumberFormat="0" applyFont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9" fontId="2" fillId="0" borderId="0" applyFont="0" applyFill="0" applyBorder="0" applyAlignment="0" applyProtection="0"/>
    <xf numFmtId="0" fontId="23" fillId="0" borderId="6" applyNumberFormat="0" applyFill="0" applyAlignment="0" applyProtection="0"/>
  </cellStyleXfs>
  <cellXfs count="107">
    <xf numFmtId="0" fontId="0" fillId="0" borderId="0" xfId="0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4" fillId="0" borderId="0" xfId="0" applyFont="1" applyBorder="1"/>
    <xf numFmtId="0" fontId="9" fillId="0" borderId="0" xfId="0" applyFont="1" applyFill="1" applyBorder="1"/>
    <xf numFmtId="0" fontId="9" fillId="0" borderId="0" xfId="0" applyNumberFormat="1" applyFont="1" applyFill="1" applyBorder="1"/>
    <xf numFmtId="2" fontId="9" fillId="0" borderId="0" xfId="0" applyNumberFormat="1" applyFont="1" applyFill="1" applyBorder="1"/>
    <xf numFmtId="2" fontId="9" fillId="0" borderId="0" xfId="4" applyNumberFormat="1" applyFont="1" applyFill="1" applyBorder="1"/>
    <xf numFmtId="2" fontId="9" fillId="0" borderId="0" xfId="3" applyNumberFormat="1" applyFont="1" applyFill="1" applyBorder="1"/>
    <xf numFmtId="0" fontId="9" fillId="0" borderId="0" xfId="0" applyFont="1" applyBorder="1"/>
    <xf numFmtId="2" fontId="11" fillId="0" borderId="0" xfId="4" applyNumberFormat="1" applyFont="1" applyFill="1" applyBorder="1"/>
    <xf numFmtId="0" fontId="11" fillId="0" borderId="0" xfId="0" applyFont="1" applyFill="1" applyBorder="1"/>
    <xf numFmtId="164" fontId="9" fillId="0" borderId="0" xfId="0" applyNumberFormat="1" applyFont="1" applyFill="1" applyBorder="1"/>
    <xf numFmtId="0" fontId="12" fillId="0" borderId="0" xfId="0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/>
    <xf numFmtId="2" fontId="13" fillId="0" borderId="0" xfId="4" applyNumberFormat="1" applyFont="1" applyFill="1" applyBorder="1"/>
    <xf numFmtId="164" fontId="12" fillId="0" borderId="0" xfId="0" applyNumberFormat="1" applyFont="1" applyFill="1" applyBorder="1"/>
    <xf numFmtId="2" fontId="12" fillId="0" borderId="0" xfId="3" applyNumberFormat="1" applyFont="1" applyFill="1" applyBorder="1"/>
    <xf numFmtId="0" fontId="3" fillId="0" borderId="0" xfId="2" applyBorder="1" applyAlignment="1"/>
    <xf numFmtId="2" fontId="0" fillId="0" borderId="0" xfId="0" applyNumberFormat="1" applyBorder="1"/>
    <xf numFmtId="0" fontId="12" fillId="0" borderId="0" xfId="0" applyFont="1" applyBorder="1"/>
    <xf numFmtId="0" fontId="0" fillId="0" borderId="0" xfId="0" applyNumberFormat="1" applyBorder="1"/>
    <xf numFmtId="0" fontId="10" fillId="0" borderId="0" xfId="2" applyFont="1" applyBorder="1" applyAlignment="1"/>
    <xf numFmtId="0" fontId="5" fillId="0" borderId="0" xfId="0" applyFont="1" applyBorder="1"/>
    <xf numFmtId="2" fontId="9" fillId="0" borderId="4" xfId="3" applyNumberFormat="1" applyFont="1" applyFill="1" applyBorder="1"/>
    <xf numFmtId="0" fontId="15" fillId="0" borderId="0" xfId="0" applyFont="1" applyFill="1" applyBorder="1"/>
    <xf numFmtId="0" fontId="15" fillId="0" borderId="0" xfId="0" applyNumberFormat="1" applyFont="1" applyFill="1" applyBorder="1"/>
    <xf numFmtId="2" fontId="15" fillId="0" borderId="0" xfId="0" applyNumberFormat="1" applyFont="1" applyFill="1" applyBorder="1"/>
    <xf numFmtId="2" fontId="16" fillId="0" borderId="0" xfId="4" applyNumberFormat="1" applyFont="1" applyFill="1" applyBorder="1"/>
    <xf numFmtId="164" fontId="15" fillId="0" borderId="0" xfId="0" applyNumberFormat="1" applyFont="1" applyFill="1" applyBorder="1"/>
    <xf numFmtId="2" fontId="9" fillId="0" borderId="2" xfId="3" applyNumberFormat="1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7" fillId="0" borderId="0" xfId="0" applyNumberFormat="1" applyFont="1" applyFill="1" applyBorder="1"/>
    <xf numFmtId="2" fontId="17" fillId="0" borderId="0" xfId="0" applyNumberFormat="1" applyFont="1" applyFill="1" applyBorder="1"/>
    <xf numFmtId="2" fontId="18" fillId="0" borderId="0" xfId="4" applyNumberFormat="1" applyFont="1" applyFill="1" applyBorder="1"/>
    <xf numFmtId="164" fontId="17" fillId="0" borderId="0" xfId="0" applyNumberFormat="1" applyFont="1" applyFill="1" applyBorder="1"/>
    <xf numFmtId="0" fontId="17" fillId="0" borderId="0" xfId="0" applyFont="1" applyBorder="1"/>
    <xf numFmtId="2" fontId="17" fillId="0" borderId="4" xfId="3" applyNumberFormat="1" applyFont="1" applyFill="1" applyBorder="1"/>
    <xf numFmtId="2" fontId="17" fillId="0" borderId="0" xfId="3" applyNumberFormat="1" applyFont="1" applyFill="1" applyBorder="1"/>
    <xf numFmtId="2" fontId="15" fillId="0" borderId="0" xfId="3" applyNumberFormat="1" applyFont="1" applyFill="1" applyBorder="1"/>
    <xf numFmtId="0" fontId="7" fillId="0" borderId="0" xfId="6" applyFill="1" applyBorder="1"/>
    <xf numFmtId="0" fontId="6" fillId="0" borderId="0" xfId="5" applyFill="1" applyBorder="1"/>
    <xf numFmtId="0" fontId="21" fillId="8" borderId="0" xfId="9" applyFont="1" applyBorder="1" applyAlignment="1"/>
    <xf numFmtId="0" fontId="21" fillId="10" borderId="0" xfId="11" applyFont="1" applyBorder="1" applyAlignment="1"/>
    <xf numFmtId="0" fontId="21" fillId="9" borderId="0" xfId="10" applyFont="1" applyBorder="1" applyAlignment="1"/>
    <xf numFmtId="0" fontId="21" fillId="11" borderId="0" xfId="12" applyFont="1" applyBorder="1" applyAlignment="1"/>
    <xf numFmtId="0" fontId="21" fillId="6" borderId="0" xfId="7" applyFont="1" applyBorder="1" applyAlignment="1"/>
    <xf numFmtId="0" fontId="21" fillId="7" borderId="0" xfId="8" applyFont="1" applyBorder="1" applyAlignment="1"/>
    <xf numFmtId="0" fontId="8" fillId="0" borderId="0" xfId="1" applyFont="1" applyFill="1" applyBorder="1" applyAlignment="1"/>
    <xf numFmtId="0" fontId="8" fillId="0" borderId="0" xfId="1" applyNumberFormat="1" applyFont="1" applyFill="1" applyBorder="1" applyAlignment="1"/>
    <xf numFmtId="2" fontId="8" fillId="0" borderId="0" xfId="1" applyNumberFormat="1" applyFont="1" applyFill="1" applyBorder="1" applyAlignment="1"/>
    <xf numFmtId="0" fontId="0" fillId="0" borderId="0" xfId="0" applyBorder="1" applyAlignment="1"/>
    <xf numFmtId="0" fontId="8" fillId="0" borderId="0" xfId="1" applyFont="1" applyBorder="1" applyAlignment="1"/>
    <xf numFmtId="0" fontId="1" fillId="0" borderId="0" xfId="1" applyBorder="1" applyAlignment="1"/>
    <xf numFmtId="0" fontId="5" fillId="14" borderId="0" xfId="0" applyFont="1" applyFill="1" applyBorder="1"/>
    <xf numFmtId="0" fontId="5" fillId="12" borderId="0" xfId="0" applyFont="1" applyFill="1" applyBorder="1"/>
    <xf numFmtId="0" fontId="14" fillId="13" borderId="0" xfId="0" applyFont="1" applyFill="1" applyBorder="1"/>
    <xf numFmtId="0" fontId="5" fillId="14" borderId="5" xfId="0" applyFont="1" applyFill="1" applyBorder="1"/>
    <xf numFmtId="0" fontId="0" fillId="0" borderId="0" xfId="0" applyNumberFormat="1" applyFill="1" applyBorder="1"/>
    <xf numFmtId="0" fontId="9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9" fillId="0" borderId="0" xfId="4" applyNumberFormat="1" applyFont="1" applyFill="1" applyBorder="1"/>
    <xf numFmtId="0" fontId="9" fillId="0" borderId="0" xfId="3" applyNumberFormat="1" applyFont="1" applyFill="1" applyBorder="1"/>
    <xf numFmtId="0" fontId="0" fillId="0" borderId="0" xfId="0" applyFont="1" applyBorder="1"/>
    <xf numFmtId="0" fontId="21" fillId="16" borderId="0" xfId="9" applyFont="1" applyFill="1" applyBorder="1" applyAlignment="1"/>
    <xf numFmtId="0" fontId="22" fillId="15" borderId="0" xfId="0" applyFont="1" applyFill="1" applyBorder="1"/>
    <xf numFmtId="0" fontId="8" fillId="0" borderId="1" xfId="1" applyFont="1" applyFill="1" applyAlignment="1"/>
    <xf numFmtId="0" fontId="15" fillId="0" borderId="4" xfId="3" applyNumberFormat="1" applyFont="1" applyFill="1" applyBorder="1"/>
    <xf numFmtId="0" fontId="0" fillId="0" borderId="0" xfId="0" applyFill="1" applyBorder="1" applyAlignment="1">
      <alignment horizontal="right"/>
    </xf>
    <xf numFmtId="0" fontId="15" fillId="0" borderId="0" xfId="3" applyNumberFormat="1" applyFont="1" applyFill="1" applyBorder="1"/>
    <xf numFmtId="0" fontId="15" fillId="0" borderId="0" xfId="0" applyNumberFormat="1" applyFont="1" applyFill="1" applyBorder="1" applyAlignment="1">
      <alignment horizontal="right"/>
    </xf>
    <xf numFmtId="0" fontId="5" fillId="21" borderId="8" xfId="0" applyFont="1" applyFill="1" applyBorder="1"/>
    <xf numFmtId="9" fontId="9" fillId="0" borderId="8" xfId="13" applyFont="1" applyFill="1" applyBorder="1"/>
    <xf numFmtId="0" fontId="5" fillId="21" borderId="0" xfId="0" applyFont="1" applyFill="1" applyBorder="1"/>
    <xf numFmtId="9" fontId="9" fillId="0" borderId="0" xfId="13" applyFont="1" applyFill="1" applyBorder="1"/>
    <xf numFmtId="0" fontId="5" fillId="21" borderId="9" xfId="0" applyFont="1" applyFill="1" applyBorder="1"/>
    <xf numFmtId="9" fontId="9" fillId="0" borderId="9" xfId="13" applyFont="1" applyFill="1" applyBorder="1"/>
    <xf numFmtId="0" fontId="24" fillId="0" borderId="0" xfId="1" applyFont="1" applyBorder="1"/>
    <xf numFmtId="0" fontId="23" fillId="0" borderId="0" xfId="14" applyBorder="1"/>
    <xf numFmtId="0" fontId="5" fillId="22" borderId="8" xfId="0" applyFont="1" applyFill="1" applyBorder="1"/>
    <xf numFmtId="0" fontId="5" fillId="22" borderId="0" xfId="0" applyFont="1" applyFill="1" applyBorder="1"/>
    <xf numFmtId="0" fontId="5" fillId="22" borderId="9" xfId="0" applyFont="1" applyFill="1" applyBorder="1"/>
    <xf numFmtId="0" fontId="5" fillId="24" borderId="0" xfId="0" applyFont="1" applyFill="1" applyBorder="1"/>
    <xf numFmtId="0" fontId="5" fillId="24" borderId="9" xfId="0" applyFont="1" applyFill="1" applyBorder="1"/>
    <xf numFmtId="0" fontId="5" fillId="20" borderId="8" xfId="0" applyFont="1" applyFill="1" applyBorder="1"/>
    <xf numFmtId="0" fontId="5" fillId="20" borderId="0" xfId="0" applyFont="1" applyFill="1" applyBorder="1"/>
    <xf numFmtId="0" fontId="5" fillId="23" borderId="8" xfId="0" applyFont="1" applyFill="1" applyBorder="1"/>
    <xf numFmtId="0" fontId="5" fillId="23" borderId="9" xfId="0" applyFont="1" applyFill="1" applyBorder="1"/>
    <xf numFmtId="9" fontId="0" fillId="0" borderId="9" xfId="13" applyFont="1" applyBorder="1"/>
    <xf numFmtId="0" fontId="5" fillId="25" borderId="8" xfId="0" applyFont="1" applyFill="1" applyBorder="1"/>
    <xf numFmtId="9" fontId="0" fillId="0" borderId="8" xfId="13" applyFont="1" applyBorder="1"/>
    <xf numFmtId="0" fontId="5" fillId="25" borderId="9" xfId="0" applyFont="1" applyFill="1" applyBorder="1"/>
    <xf numFmtId="0" fontId="5" fillId="18" borderId="8" xfId="0" applyFont="1" applyFill="1" applyBorder="1"/>
    <xf numFmtId="0" fontId="5" fillId="18" borderId="9" xfId="0" applyFont="1" applyFill="1" applyBorder="1"/>
    <xf numFmtId="0" fontId="5" fillId="17" borderId="8" xfId="0" applyFont="1" applyFill="1" applyBorder="1"/>
    <xf numFmtId="0" fontId="5" fillId="17" borderId="0" xfId="0" applyFont="1" applyFill="1" applyBorder="1"/>
    <xf numFmtId="9" fontId="0" fillId="0" borderId="0" xfId="13" applyFont="1" applyBorder="1"/>
    <xf numFmtId="0" fontId="5" fillId="17" borderId="9" xfId="0" applyFont="1" applyFill="1" applyBorder="1"/>
    <xf numFmtId="0" fontId="5" fillId="19" borderId="7" xfId="0" applyFont="1" applyFill="1" applyBorder="1"/>
    <xf numFmtId="9" fontId="0" fillId="0" borderId="7" xfId="13" applyFont="1" applyBorder="1"/>
    <xf numFmtId="9" fontId="9" fillId="0" borderId="7" xfId="13" applyFont="1" applyFill="1" applyBorder="1"/>
    <xf numFmtId="0" fontId="5" fillId="26" borderId="0" xfId="0" applyFont="1" applyFill="1" applyBorder="1"/>
    <xf numFmtId="0" fontId="9" fillId="27" borderId="7" xfId="0" applyFont="1" applyFill="1" applyBorder="1"/>
    <xf numFmtId="2" fontId="15" fillId="0" borderId="4" xfId="3" applyNumberFormat="1" applyFont="1" applyFill="1" applyBorder="1"/>
  </cellXfs>
  <cellStyles count="15">
    <cellStyle name="20% - Accent6" xfId="4" builtinId="50"/>
    <cellStyle name="Accent1" xfId="7" builtinId="29"/>
    <cellStyle name="Accent2" xfId="8" builtinId="33"/>
    <cellStyle name="Accent3" xfId="9" builtinId="37"/>
    <cellStyle name="Accent4" xfId="10" builtinId="41"/>
    <cellStyle name="Accent5" xfId="11" builtinId="45"/>
    <cellStyle name="Accent6" xfId="12" builtinId="49"/>
    <cellStyle name="Good" xfId="5" builtinId="26"/>
    <cellStyle name="Heading 1" xfId="1" builtinId="16"/>
    <cellStyle name="Heading 2" xfId="14" builtinId="17"/>
    <cellStyle name="Input" xfId="6" builtinId="20"/>
    <cellStyle name="Normal" xfId="0" builtinId="0"/>
    <cellStyle name="Note" xfId="3" builtinId="10"/>
    <cellStyle name="Percent" xfId="13" builtinId="5"/>
    <cellStyle name="Title" xfId="2" builtinId="15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;\-0;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000066"/>
      <color rgb="FF660033"/>
      <color rgb="FFCC0000"/>
      <color rgb="FFA50021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0" name="Table10" displayName="Table10" ref="A148:AA162" totalsRowShown="0" headerRowDxfId="241" dataDxfId="240" headerRowCellStyle="Heading 1">
  <autoFilter ref="A148:AA162"/>
  <sortState ref="A149:AA162">
    <sortCondition descending="1" ref="L148:L162"/>
  </sortState>
  <tableColumns count="27">
    <tableColumn id="1" name="Weapon" dataDxfId="239"/>
    <tableColumn id="2" name="Type" dataDxfId="238"/>
    <tableColumn id="3" name="Mount" dataDxfId="237"/>
    <tableColumn id="4" name="Barrels" dataDxfId="236">
      <calculatedColumnFormula>IF(LEFT($A149,4) = "Dual",2,IF(LEFT($A149,6) = "Triple",3,1))</calculatedColumnFormula>
    </tableColumn>
    <tableColumn id="5" name="Burst" dataDxfId="235"/>
    <tableColumn id="6" name="Dur" dataDxfId="234"/>
    <tableColumn id="7" name="Cycle(s)" dataDxfId="233"/>
    <tableColumn id="8" name="PB-dmg" dataDxfId="232"/>
    <tableColumn id="9" name="Eff-Dmg" dataDxfId="231"/>
    <tableColumn id="10" name="LR-Dmg" dataDxfId="230"/>
    <tableColumn id="11" name="PB-dps" dataDxfId="229">
      <calculatedColumnFormula>IF($G149&lt;&gt;0,$D149*$E149*$F149*H149/$G149,)</calculatedColumnFormula>
    </tableColumn>
    <tableColumn id="12" name="Eff-dps" dataDxfId="228" dataCellStyle="20% - Accent6">
      <calculatedColumnFormula>IF($G149&lt;&gt;0,$D149*$E149*$F149*I149/$G149,)</calculatedColumnFormula>
    </tableColumn>
    <tableColumn id="13" name="VRF" dataDxfId="227">
      <calculatedColumnFormula>IF($B149 = "Ballistic", 1.25*$L149,$L149)</calculatedColumnFormula>
    </tableColumn>
    <tableColumn id="14" name="N" dataDxfId="226">
      <calculatedColumnFormula>IF($B149 = "Ballistic", $M149*1.5,$M149)</calculatedColumnFormula>
    </tableColumn>
    <tableColumn id="15" name="LR-dps" dataDxfId="225">
      <calculatedColumnFormula>IF($G149&lt;&gt;0,$D149*$E149*$F149*J149/$G149,)</calculatedColumnFormula>
    </tableColumn>
    <tableColumn id="16" name="D/Hit" dataDxfId="224" dataCellStyle="Note">
      <calculatedColumnFormula>$D149*$I149*$F149</calculatedColumnFormula>
    </tableColumn>
    <tableColumn id="17" name="Alpha*" dataDxfId="223" dataCellStyle="Note">
      <calculatedColumnFormula>$D149*$E149*$F149*$J149</calculatedColumnFormula>
    </tableColumn>
    <tableColumn id="18" name="est'" dataDxfId="222"/>
    <tableColumn id="19" name="est" dataDxfId="221"/>
    <tableColumn id="20" name="frate" dataDxfId="220">
      <calculatedColumnFormula>VLOOKUP(G149,Standard_F_Rates,2)</calculatedColumnFormula>
    </tableColumn>
    <tableColumn id="21" name="dam" dataDxfId="219">
      <calculatedColumnFormula>VLOOKUP(L149,Torpedo_Weapon_Damage_Table,2)</calculatedColumnFormula>
    </tableColumn>
    <tableColumn id="22" name="acc" dataDxfId="218">
      <calculatedColumnFormula>VLOOKUP(Z149+AA149,Standard_Accuracy_Table,2)</calculatedColumnFormula>
    </tableColumn>
    <tableColumn id="23" name="rng" dataDxfId="217">
      <calculatedColumnFormula>VLOOKUP(X149,Standard_Range_Table,2)</calculatedColumnFormula>
    </tableColumn>
    <tableColumn id="24" name="MxRge" dataDxfId="216"/>
    <tableColumn id="25" name="Shots/s" dataDxfId="215">
      <calculatedColumnFormula>$D149*$E149/$G149</calculatedColumnFormula>
    </tableColumn>
    <tableColumn id="26" name="eff-dev" dataDxfId="214"/>
    <tableColumn id="27" name="vol-dev" dataDxfId="213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K2:L12" totalsRowShown="0">
  <autoFilter ref="K2:L12"/>
  <tableColumns count="2">
    <tableColumn id="1" name="Standard Accuracy Table"/>
    <tableColumn id="2" name="Rating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2" name="Table2" displayName="Table2" ref="H2:I13" totalsRowShown="0">
  <autoFilter ref="H2:I13"/>
  <tableColumns count="2">
    <tableColumn id="1" name="Standard Range Table"/>
    <tableColumn id="2" name="Rating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id="3" name="Table3" displayName="Table3" ref="E2:F12" totalsRowShown="0">
  <autoFilter ref="E2:F12"/>
  <tableColumns count="2">
    <tableColumn id="1" name="Standard F-Rates"/>
    <tableColumn id="2" name="Rating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E15:F26" totalsRowShown="0">
  <autoFilter ref="E15:F26"/>
  <tableColumns count="2">
    <tableColumn id="1" name="Alpha-Strike Damage Table"/>
    <tableColumn id="2" name="Rating"/>
  </tableColumns>
  <tableStyleInfo name="TableStyleDark7" showFirstColumn="0" showLastColumn="0" showRowStripes="1" showColumnStripes="0"/>
</table>
</file>

<file path=xl/tables/table14.xml><?xml version="1.0" encoding="utf-8"?>
<table xmlns="http://schemas.openxmlformats.org/spreadsheetml/2006/main" id="5" name="Table5" displayName="Table5" ref="A2:B13" totalsRowShown="0">
  <autoFilter ref="A2:B13"/>
  <tableColumns count="2">
    <tableColumn id="1" name="Large Weapon Damage Table"/>
    <tableColumn id="2" name="Rating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6" name="Table6" displayName="Table6" ref="A15:B26" totalsRowShown="0">
  <autoFilter ref="A15:B26"/>
  <tableColumns count="2">
    <tableColumn id="1" name="Medium Weapon Damage Table"/>
    <tableColumn id="2" name="Rating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A28:B39" totalsRowShown="0">
  <autoFilter ref="A28:B39"/>
  <tableColumns count="2">
    <tableColumn id="1" name="Small Weapon Damage Table"/>
    <tableColumn id="2" name="Rating"/>
  </tableColumns>
  <tableStyleInfo name="TableStyleDark11" showFirstColumn="0" showLastColumn="0" showRowStripes="1" showColumnStripes="0"/>
</table>
</file>

<file path=xl/tables/table17.xml><?xml version="1.0" encoding="utf-8"?>
<table xmlns="http://schemas.openxmlformats.org/spreadsheetml/2006/main" id="8" name="Table8" displayName="Table8" ref="A41:B52" totalsRowShown="0">
  <autoFilter ref="A41:B52"/>
  <tableColumns count="2">
    <tableColumn id="1" name="Projector Weapon Damage Table"/>
    <tableColumn id="2" name="Rating"/>
  </tableColumns>
  <tableStyleInfo name="TableStyleDark5" showFirstColumn="0" showLastColumn="0" showRowStripes="1" showColumnStripes="0"/>
</table>
</file>

<file path=xl/tables/table18.xml><?xml version="1.0" encoding="utf-8"?>
<table xmlns="http://schemas.openxmlformats.org/spreadsheetml/2006/main" id="9" name="Table9" displayName="Table9" ref="A54:B65" totalsRowShown="0">
  <autoFilter ref="A54:B65"/>
  <tableColumns count="2">
    <tableColumn id="1" name="Torpedo Weapon Damage Table"/>
    <tableColumn id="2" name="Rating"/>
  </tableColumns>
  <tableStyleInfo name="TableStyleDark9" showFirstColumn="0" showLastColumn="0" showRowStripes="1" showColumnStripes="0"/>
</table>
</file>

<file path=xl/tables/table19.xml><?xml version="1.0" encoding="utf-8"?>
<table xmlns="http://schemas.openxmlformats.org/spreadsheetml/2006/main" id="17" name="Table17" displayName="Table17" ref="E41:F52" totalsRowShown="0">
  <autoFilter ref="E41:F52"/>
  <tableColumns count="2">
    <tableColumn id="1" name="Mine Dmg Table"/>
    <tableColumn id="2" name="Rating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31:AA145" totalsRowShown="0" headerRowDxfId="212" dataDxfId="211" headerRowCellStyle="Heading 1">
  <autoFilter ref="A131:AA145"/>
  <tableColumns count="27">
    <tableColumn id="1" name="Weapon" dataDxfId="210"/>
    <tableColumn id="2" name="Type" dataDxfId="209"/>
    <tableColumn id="3" name="Mount" dataDxfId="208"/>
    <tableColumn id="4" name="Barrels" dataDxfId="207">
      <calculatedColumnFormula>IF(LEFT($A132,4) = "Dual",2,IF(LEFT($A132,6) = "Triple",3,1))</calculatedColumnFormula>
    </tableColumn>
    <tableColumn id="5" name="Burst" dataDxfId="206"/>
    <tableColumn id="6" name="Dur" dataDxfId="205"/>
    <tableColumn id="7" name="Cycle(s)" dataDxfId="204"/>
    <tableColumn id="8" name="PB-dmg" dataDxfId="203"/>
    <tableColumn id="9" name="Eff-Dmg" dataDxfId="202"/>
    <tableColumn id="10" name="LR-Dmg" dataDxfId="201"/>
    <tableColumn id="11" name="PB-dps" dataDxfId="200">
      <calculatedColumnFormula>IF($G132&lt;&gt;0,$D132*$E132*$F132*H132/$G132,)</calculatedColumnFormula>
    </tableColumn>
    <tableColumn id="12" name="Eff-dps" dataDxfId="199" dataCellStyle="20% - Accent6">
      <calculatedColumnFormula>IF($G132&lt;&gt;0,$D132*$E132*$F132*I132/$G132,)</calculatedColumnFormula>
    </tableColumn>
    <tableColumn id="13" name="VRF" dataDxfId="198">
      <calculatedColumnFormula>IF($B132 = "Ballistic", 1.25*$L132,$L132)</calculatedColumnFormula>
    </tableColumn>
    <tableColumn id="14" name="N" dataDxfId="197">
      <calculatedColumnFormula>IF($B132 = "Ballistic", $M132*1.5,$M132)</calculatedColumnFormula>
    </tableColumn>
    <tableColumn id="15" name="LR-dps" dataDxfId="196">
      <calculatedColumnFormula>IF($G132&lt;&gt;0,$D132*$E132*$F132*J132/$G132,)</calculatedColumnFormula>
    </tableColumn>
    <tableColumn id="16" name="D/Hit" dataDxfId="195" dataCellStyle="Note">
      <calculatedColumnFormula>$D132*$I132*$F132</calculatedColumnFormula>
    </tableColumn>
    <tableColumn id="17" name="Alpha*" dataDxfId="194" dataCellStyle="Note">
      <calculatedColumnFormula>$D132*$E132*$F132*$J132</calculatedColumnFormula>
    </tableColumn>
    <tableColumn id="18" name="est'" dataDxfId="193"/>
    <tableColumn id="19" name="est" dataDxfId="192"/>
    <tableColumn id="20" name="frate" dataDxfId="191">
      <calculatedColumnFormula>VLOOKUP(G132,Standard_F_Rates,2)</calculatedColumnFormula>
    </tableColumn>
    <tableColumn id="21" name="dam" dataDxfId="190">
      <calculatedColumnFormula>VLOOKUP(L132,Projector_Weapon_Damage_Table,2)</calculatedColumnFormula>
    </tableColumn>
    <tableColumn id="22" name="acc" dataDxfId="189">
      <calculatedColumnFormula>VLOOKUP(Z132+AA132,Standard_Accuracy_Table,2)</calculatedColumnFormula>
    </tableColumn>
    <tableColumn id="23" name="rng" dataDxfId="188">
      <calculatedColumnFormula>VLOOKUP(X132,Standard_Range_Table,2)</calculatedColumnFormula>
    </tableColumn>
    <tableColumn id="24" name="MxRge" dataDxfId="187"/>
    <tableColumn id="25" name="Shots/s" dataDxfId="186">
      <calculatedColumnFormula>$D132*$E132/$G132</calculatedColumnFormula>
    </tableColumn>
    <tableColumn id="26" name="eff-dev" dataDxfId="185"/>
    <tableColumn id="27" name="vol-dev" dataDxfId="184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16" name="Table16" displayName="Table16" ref="H15:I26" totalsRowShown="0">
  <autoFilter ref="H15:I26"/>
  <tableColumns count="2">
    <tableColumn id="1" name="mine range table"/>
    <tableColumn id="2" name="rating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13:AB128" totalsRowShown="0" headerRowDxfId="183" dataDxfId="182" headerRowCellStyle="Heading 1">
  <autoFilter ref="A13:AB128"/>
  <sortState ref="A14:AB128">
    <sortCondition descending="1" ref="M13:M128"/>
  </sortState>
  <tableColumns count="28">
    <tableColumn id="1" name="Weapon" dataDxfId="181"/>
    <tableColumn id="2" name="Type" dataDxfId="180"/>
    <tableColumn id="3" name="Mount" dataDxfId="179"/>
    <tableColumn id="4" name="Barrels" dataDxfId="178">
      <calculatedColumnFormula>IF(LEFT($A14,4) = "Dual",2,IF(LEFT($A14,6) = "Triple",3,1))</calculatedColumnFormula>
    </tableColumn>
    <tableColumn id="5" name="Burst" dataDxfId="177"/>
    <tableColumn id="6" name="Dur" dataDxfId="176"/>
    <tableColumn id="28" name="Recharge" dataDxfId="175"/>
    <tableColumn id="7" name="Cycle(s)" dataDxfId="174">
      <calculatedColumnFormula>IF(Table12[[#This Row],[Barrels]]&gt;1,Table12[[#This Row],[Recharge]]*1.33333333,Table12[[#This Row],[Recharge]])</calculatedColumnFormula>
    </tableColumn>
    <tableColumn id="8" name="PB-dmg" dataDxfId="173"/>
    <tableColumn id="9" name="Eff-Dmg" dataDxfId="172"/>
    <tableColumn id="10" name="LR-Dmg" dataDxfId="171"/>
    <tableColumn id="11" name="PB-dps" dataDxfId="170">
      <calculatedColumnFormula>I14*$E14/$H14</calculatedColumnFormula>
    </tableColumn>
    <tableColumn id="12" name="Eff-dps" dataDxfId="169" dataCellStyle="20% - Accent6">
      <calculatedColumnFormula>IF($H14&lt;&gt;0,$D14*$E14*$F14*J14/$H14,)</calculatedColumnFormula>
    </tableColumn>
    <tableColumn id="13" name="VRF" dataDxfId="168">
      <calculatedColumnFormula>IF($B14 = "Ballistic", 1.25*$M14,$M14)</calculatedColumnFormula>
    </tableColumn>
    <tableColumn id="14" name="N" dataDxfId="167">
      <calculatedColumnFormula>IF($B14 = "Ballistic", $N14*1.5,$N14)</calculatedColumnFormula>
    </tableColumn>
    <tableColumn id="15" name="LR-dps" dataDxfId="166">
      <calculatedColumnFormula>IF($H14&lt;&gt;0,$D14*$E14*$F14*K14/$H14,)</calculatedColumnFormula>
    </tableColumn>
    <tableColumn id="16" name="D/Hit" dataDxfId="165" dataCellStyle="Note">
      <calculatedColumnFormula>$D14*$J14*$F14</calculatedColumnFormula>
    </tableColumn>
    <tableColumn id="17" name="Alpha*" dataDxfId="164" dataCellStyle="Note">
      <calculatedColumnFormula>$D14*$E14*$F14*$K14</calculatedColumnFormula>
    </tableColumn>
    <tableColumn id="18" name="est'" dataDxfId="163"/>
    <tableColumn id="19" name="est" dataDxfId="162"/>
    <tableColumn id="20" name="frate" dataDxfId="161">
      <calculatedColumnFormula>VLOOKUP(H14,Standard_F_Rates,2)</calculatedColumnFormula>
    </tableColumn>
    <tableColumn id="21" name="dam" dataDxfId="160">
      <calculatedColumnFormula>MAX(VLOOKUP(R14,Alt_Dmg_Table,2),IF(C14="Medium",VLOOKUP(M14,Medium_Weapon_Damage_Table,2),IF(C14="Small",VLOOKUP(M14,Small_Weapon_Damage_Table,2),IF(C14="Projector",VLOOKUP(M14,Projector_Weapon_Damage_Table,2),VLOOKUP(M14,Large_Weapon_Damage_Table,2)))))</calculatedColumnFormula>
    </tableColumn>
    <tableColumn id="22" name="acc" dataDxfId="159">
      <calculatedColumnFormula>VLOOKUP(AA14+AB14,Standard_Accuracy_Table,2)</calculatedColumnFormula>
    </tableColumn>
    <tableColumn id="23" name="rng" dataDxfId="158">
      <calculatedColumnFormula>VLOOKUP(Y14,Standard_Range_Table,2)</calculatedColumnFormula>
    </tableColumn>
    <tableColumn id="24" name="MxRge" dataDxfId="157"/>
    <tableColumn id="25" name="Shots/s" dataDxfId="156">
      <calculatedColumnFormula>$D14*$E14/$H14</calculatedColumnFormula>
    </tableColumn>
    <tableColumn id="26" name="eff-dev" dataDxfId="155"/>
    <tableColumn id="27" name="vol-dev" dataDxfId="15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A165:AA175" totalsRowShown="0" headerRowDxfId="153" headerRowCellStyle="Heading 1">
  <autoFilter ref="A165:AA175"/>
  <tableColumns count="27">
    <tableColumn id="1" name="Weapon" dataDxfId="152"/>
    <tableColumn id="2" name="Type" dataDxfId="151"/>
    <tableColumn id="3" name="Mount" dataDxfId="150"/>
    <tableColumn id="4" name="Barrels" dataDxfId="149">
      <calculatedColumnFormula>IF(LEFT($A166,4) = "Dual",2,IF(LEFT($A166,6) = "Triple",3,1))</calculatedColumnFormula>
    </tableColumn>
    <tableColumn id="5" name="Burst" dataDxfId="148"/>
    <tableColumn id="6" name="Dur" dataDxfId="147"/>
    <tableColumn id="7" name="Cycle(s)" dataDxfId="146"/>
    <tableColumn id="8" name="PB-dmg" dataDxfId="145"/>
    <tableColumn id="9" name="Eff-Dmg" dataDxfId="144"/>
    <tableColumn id="10" name="LR-Dmg" dataDxfId="143"/>
    <tableColumn id="11" name="PB-dps" dataDxfId="142">
      <calculatedColumnFormula>$E166*$F166*H166/$G166</calculatedColumnFormula>
    </tableColumn>
    <tableColumn id="12" name="Eff-dps" dataDxfId="141" dataCellStyle="20% - Accent6">
      <calculatedColumnFormula>$E166*$F166*I166/$G166</calculatedColumnFormula>
    </tableColumn>
    <tableColumn id="13" name="VRF" dataDxfId="140">
      <calculatedColumnFormula>IF($B166 = "Ballistic", 1.25*$L166,$L166)</calculatedColumnFormula>
    </tableColumn>
    <tableColumn id="14" name="N" dataDxfId="139">
      <calculatedColumnFormula>IF($B166 = "Ballistic", $M166*1.5,$M166)</calculatedColumnFormula>
    </tableColumn>
    <tableColumn id="15" name="LR-dps" dataDxfId="138">
      <calculatedColumnFormula>$E166*$F166*J166/$G166</calculatedColumnFormula>
    </tableColumn>
    <tableColumn id="16" name="D/Hit" dataDxfId="137" dataCellStyle="Note">
      <calculatedColumnFormula>I166*F166</calculatedColumnFormula>
    </tableColumn>
    <tableColumn id="17" name="Alpha*" dataDxfId="136" dataCellStyle="Note">
      <calculatedColumnFormula>$D166*$E166*$F166*$J166</calculatedColumnFormula>
    </tableColumn>
    <tableColumn id="18" name="est'" dataDxfId="135"/>
    <tableColumn id="19" name="est" dataDxfId="134"/>
    <tableColumn id="20" name="frate" dataDxfId="133">
      <calculatedColumnFormula>VLOOKUP(G166,Standard_F_Rates,2)</calculatedColumnFormula>
    </tableColumn>
    <tableColumn id="21" name="dam" dataDxfId="132">
      <calculatedColumnFormula>VLOOKUP(L166,Small_Weapon_Damage_Table,2)</calculatedColumnFormula>
    </tableColumn>
    <tableColumn id="22" name="acc" dataDxfId="131">
      <calculatedColumnFormula>VLOOKUP(Z166+AA166,Standard_Accuracy_Table,2)</calculatedColumnFormula>
    </tableColumn>
    <tableColumn id="23" name="rng" dataDxfId="130">
      <calculatedColumnFormula>VLOOKUP(X166,Standard_Range_Table,2)</calculatedColumnFormula>
    </tableColumn>
    <tableColumn id="24" name="MxRge" dataDxfId="129"/>
    <tableColumn id="25" name="Shots/s" dataDxfId="128">
      <calculatedColumnFormula>$D166*$E166/$G166</calculatedColumnFormula>
    </tableColumn>
    <tableColumn id="26" name="eff-dev" dataDxfId="127"/>
    <tableColumn id="27" name="vol-dev" dataDxfId="126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id="14" name="Table14" displayName="Table14" ref="A9:AA10" totalsRowShown="0" headerRowDxfId="125" headerRowCellStyle="Heading 1">
  <autoFilter ref="A9:AA10"/>
  <tableColumns count="27">
    <tableColumn id="1" name="Weapon" dataDxfId="124"/>
    <tableColumn id="2" name="Type" dataDxfId="123"/>
    <tableColumn id="3" name="Mount" dataDxfId="122"/>
    <tableColumn id="4" name="Barrels" dataDxfId="121">
      <calculatedColumnFormula>IF(LEFT($A10,4) = "Dual",2,IF(LEFT($A10,6) = "Triple",3,1))</calculatedColumnFormula>
    </tableColumn>
    <tableColumn id="5" name="Burst" dataDxfId="120"/>
    <tableColumn id="6" name="Dur" dataDxfId="119"/>
    <tableColumn id="7" name="Cycle(s)" dataDxfId="118"/>
    <tableColumn id="8" name="PB-dmg" dataDxfId="117"/>
    <tableColumn id="9" name="Eff-Dmg" dataDxfId="116"/>
    <tableColumn id="10" name="LR-Dmg" dataDxfId="115"/>
    <tableColumn id="11" name="PB-dps" dataDxfId="114">
      <calculatedColumnFormula>IF($G10&lt;&gt;0,$D10*$E10*$F10*H10/$G10,)</calculatedColumnFormula>
    </tableColumn>
    <tableColumn id="12" name="Eff-dps" dataDxfId="113" dataCellStyle="20% - Accent6">
      <calculatedColumnFormula>IF($G10&lt;&gt;0,$D10*$E10*$F10*I10/$G10,)</calculatedColumnFormula>
    </tableColumn>
    <tableColumn id="13" name="VRF" dataDxfId="112">
      <calculatedColumnFormula>IF($B10 = "Ballistic", 1.25*$L10,$L10)</calculatedColumnFormula>
    </tableColumn>
    <tableColumn id="14" name="N" dataDxfId="111">
      <calculatedColumnFormula>IF($B10 = "Ballistic", $M10*1.5,$M10)</calculatedColumnFormula>
    </tableColumn>
    <tableColumn id="15" name="LR-dps" dataDxfId="110">
      <calculatedColumnFormula>IF($G10&lt;&gt;0,$D10*$E10*$F10*J10/$G10,)</calculatedColumnFormula>
    </tableColumn>
    <tableColumn id="16" name="D/Hit" dataDxfId="109" dataCellStyle="Note">
      <calculatedColumnFormula>$D10*$I10*$F10</calculatedColumnFormula>
    </tableColumn>
    <tableColumn id="17" name="Alpha*" dataDxfId="108" dataCellStyle="Note">
      <calculatedColumnFormula>$D10*$E10*$F10*$J10</calculatedColumnFormula>
    </tableColumn>
    <tableColumn id="18" name="est'" dataDxfId="107"/>
    <tableColumn id="19" name="est" dataDxfId="106"/>
    <tableColumn id="20" name="frate" dataDxfId="105">
      <calculatedColumnFormula>VLOOKUP(G10,Standard_F_Rates,2)</calculatedColumnFormula>
    </tableColumn>
    <tableColumn id="21" name="dam" dataDxfId="104">
      <calculatedColumnFormula>IF(C10="Medium",VLOOKUP(L10,Medium_Weapon_Damage_Table,2),IF(C10="Small",VLOOKUP(L10,Small_Weapon_Damage_Table,2),IF(C10="Projector",VLOOKUP(L10,Projector_Weapon_Damage_Table,2),VLOOKUP(L10,Large_Weapon_Damage_Table,2))))</calculatedColumnFormula>
    </tableColumn>
    <tableColumn id="22" name="acc" dataDxfId="103">
      <calculatedColumnFormula>VLOOKUP(Z10+AA10,Standard_Accuracy_Table,2)</calculatedColumnFormula>
    </tableColumn>
    <tableColumn id="23" name="rng" dataDxfId="102">
      <calculatedColumnFormula>VLOOKUP(X10,Standard_Range_Table,2)</calculatedColumnFormula>
    </tableColumn>
    <tableColumn id="24" name="MxRge" dataDxfId="101"/>
    <tableColumn id="25" name="Shots/s" dataDxfId="100">
      <calculatedColumnFormula>$D10*$E10/$G10</calculatedColumnFormula>
    </tableColumn>
    <tableColumn id="26" name="eff-dev"/>
    <tableColumn id="27" name="vol-dev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15" name="Table15" displayName="Table15" ref="A3:AA6" totalsRowShown="0" headerRowDxfId="99" headerRowCellStyle="Heading 1">
  <autoFilter ref="A3:AA6"/>
  <sortState ref="A4:AA6">
    <sortCondition ref="A3:A6"/>
  </sortState>
  <tableColumns count="27">
    <tableColumn id="1" name="Weapon" dataDxfId="98"/>
    <tableColumn id="2" name="Type" dataDxfId="97"/>
    <tableColumn id="3" name="Mount" dataDxfId="96"/>
    <tableColumn id="4" name="Barrels" dataDxfId="95">
      <calculatedColumnFormula>IF(LEFT($A4,4) = "Dual",2,IF(LEFT($A4,6) = "Triple",3,1))</calculatedColumnFormula>
    </tableColumn>
    <tableColumn id="5" name="Burst" dataDxfId="94"/>
    <tableColumn id="6" name="Dur" dataDxfId="93"/>
    <tableColumn id="7" name="Cycle(s)" dataDxfId="92"/>
    <tableColumn id="8" name="PB-dmg" dataDxfId="91"/>
    <tableColumn id="9" name="Eff-Dmg" dataDxfId="90"/>
    <tableColumn id="10" name="LR-Dmg" dataDxfId="89"/>
    <tableColumn id="11" name="PB-dps" dataDxfId="88">
      <calculatedColumnFormula>H4*$E4/$G4</calculatedColumnFormula>
    </tableColumn>
    <tableColumn id="12" name="Eff-dps" dataDxfId="87" dataCellStyle="20% - Accent6">
      <calculatedColumnFormula>IF($G4&lt;&gt;0,$D4*$E4*$F4*I4/$G4,)</calculatedColumnFormula>
    </tableColumn>
    <tableColumn id="13" name="VRF" dataDxfId="86">
      <calculatedColumnFormula>IF($B4 = "Ballistic", 1.25*$L4,$L4)</calculatedColumnFormula>
    </tableColumn>
    <tableColumn id="14" name="N" dataDxfId="85">
      <calculatedColumnFormula>IF($B4 = "Ballistic", $M4*1.5,$M4)</calculatedColumnFormula>
    </tableColumn>
    <tableColumn id="15" name="LR-dps" dataDxfId="84">
      <calculatedColumnFormula>IF($G4&lt;&gt;0,$D4*$E4*$F4*J4/$G4,)</calculatedColumnFormula>
    </tableColumn>
    <tableColumn id="16" name="D/Hit" dataDxfId="83" dataCellStyle="Note">
      <calculatedColumnFormula>$D4*$I4*$F4</calculatedColumnFormula>
    </tableColumn>
    <tableColumn id="17" name="Alpha*" dataDxfId="82" dataCellStyle="Note">
      <calculatedColumnFormula>$D4*$E4*$F4*$J4</calculatedColumnFormula>
    </tableColumn>
    <tableColumn id="18" name="est'" dataDxfId="81"/>
    <tableColumn id="19" name="est" dataDxfId="80"/>
    <tableColumn id="20" name="frate" dataDxfId="79">
      <calculatedColumnFormula>VLOOKUP(G4,Standard_F_Rates,2)</calculatedColumnFormula>
    </tableColumn>
    <tableColumn id="21" name="dam" dataDxfId="78">
      <calculatedColumnFormula>IF(C4="Medium",VLOOKUP(L4,Medium_Weapon_Damage_Table,2),IF(C4="Small",VLOOKUP(L4,Small_Weapon_Damage_Table,2),IF(C4="Projector",VLOOKUP(L4,Projector_Weapon_Damage_Table,2),VLOOKUP(L4,Large_Weapon_Damage_Table,2))))</calculatedColumnFormula>
    </tableColumn>
    <tableColumn id="22" name="acc" dataDxfId="77">
      <calculatedColumnFormula>VLOOKUP(Z4+AA4,Standard_Accuracy_Table,2)</calculatedColumnFormula>
    </tableColumn>
    <tableColumn id="23" name="rng" dataDxfId="76">
      <calculatedColumnFormula>VLOOKUP(X4,Standard_Range_Table,2)</calculatedColumnFormula>
    </tableColumn>
    <tableColumn id="24" name="MxRge" dataDxfId="75"/>
    <tableColumn id="25" name="Shots/s" dataDxfId="74">
      <calculatedColumnFormula>$D4*$E4/$G4</calculatedColumnFormula>
    </tableColumn>
    <tableColumn id="26" name="eff-dev" dataDxfId="73"/>
    <tableColumn id="27" name="vol-dev" dataDxfId="7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A178:V189" totalsRowShown="0" headerRowDxfId="71" dataDxfId="70" headerRowCellStyle="Heading 1">
  <autoFilter ref="A178:V189"/>
  <tableColumns count="22">
    <tableColumn id="1" name="Weapon" dataDxfId="69"/>
    <tableColumn id="2" name="Type" dataDxfId="68"/>
    <tableColumn id="3" name="Mount" dataDxfId="67"/>
    <tableColumn id="4" name="Barrels" dataDxfId="66">
      <calculatedColumnFormula>IF(LEFT($A179,4) = "Dual",2,IF(LEFT($A179,6) = "Triple",3,1))</calculatedColumnFormula>
    </tableColumn>
    <tableColumn id="5" name="Burst" dataDxfId="65"/>
    <tableColumn id="6" name="Dur" dataDxfId="64"/>
    <tableColumn id="7" name="Cycle(s)" dataDxfId="63"/>
    <tableColumn id="8" name="Dmg" dataDxfId="62"/>
    <tableColumn id="9" name="Dps" dataDxfId="61">
      <calculatedColumnFormula>D179*E179/G179*H179</calculatedColumnFormula>
    </tableColumn>
    <tableColumn id="10" name="TTL" dataDxfId="60"/>
    <tableColumn id="11" name="Health" dataDxfId="59"/>
    <tableColumn id="12" name="dam-r" dataDxfId="58"/>
    <tableColumn id="13" name="effect-r" dataDxfId="57"/>
    <tableColumn id="14" name="grav-r" dataDxfId="56"/>
    <tableColumn id="15" name="speed"/>
    <tableColumn id="16" name="seek_atn" dataDxfId="55" dataCellStyle="Note"/>
    <tableColumn id="17" name="est'" dataDxfId="54"/>
    <tableColumn id="18" name="est" dataDxfId="53"/>
    <tableColumn id="19" name="frate" dataDxfId="52">
      <calculatedColumnFormula>VLOOKUP(Table18[[#This Row],[Cycle(s)]],Standard_F_Rates,2)</calculatedColumnFormula>
    </tableColumn>
    <tableColumn id="20" name="dam" dataDxfId="51">
      <calculatedColumnFormula>VLOOKUP(Table18[[#This Row],[Dmg]],Mine_Dmg_Table,2)</calculatedColumnFormula>
    </tableColumn>
    <tableColumn id="21" name="acc" dataDxfId="50"/>
    <tableColumn id="22" name="rng" dataDxfId="49">
      <calculatedColumnFormula>VLOOKUP(Table18[[#This Row],[dam-r]]+Table18[[#This Row],[effect-r]],mine_range_table,2)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A192:AB215" totalsRowShown="0" headerRowDxfId="48" dataDxfId="47" headerRowCellStyle="Heading 1">
  <autoFilter ref="A192:AB215"/>
  <sortState ref="A188:AC206">
    <sortCondition descending="1" ref="V187:V206"/>
  </sortState>
  <tableColumns count="28">
    <tableColumn id="1" name="Weapon" dataDxfId="46"/>
    <tableColumn id="2" name="Type" dataDxfId="45"/>
    <tableColumn id="3" name="Mount" dataDxfId="44"/>
    <tableColumn id="4" name="Barrels" dataDxfId="43">
      <calculatedColumnFormula>IF(LEFT($A193,4) = "Dual",2,IF(LEFT($A193,6) = "Triple",3,1))</calculatedColumnFormula>
    </tableColumn>
    <tableColumn id="5" name="Whds" dataDxfId="42"/>
    <tableColumn id="6" name="Cycle(s)" dataDxfId="41"/>
    <tableColumn id="7" name="Dmg" dataDxfId="40"/>
    <tableColumn id="8" name="Nuke" dataDxfId="39">
      <calculatedColumnFormula>IF($B193="Warhead",$D193*$E193*$G193,"")</calculatedColumnFormula>
    </tableColumn>
    <tableColumn id="9" name="Shaped" dataDxfId="38">
      <calculatedColumnFormula>IF($B193="Warhead",$D193*$E193*$G193*1.5,"")</calculatedColumnFormula>
    </tableColumn>
    <tableColumn id="10" name="Gamma" dataDxfId="37">
      <calculatedColumnFormula>IF($B193="Warhead",$D193*$E193*$G193*2,"")</calculatedColumnFormula>
    </tableColumn>
    <tableColumn id="11" name="Fusion" dataDxfId="36">
      <calculatedColumnFormula>IF($B193="Warhead",$D193*$E193*$G193*3.5,"")</calculatedColumnFormula>
    </tableColumn>
    <tableColumn id="12" name="Antimatter" dataDxfId="35">
      <calculatedColumnFormula>IF($B193="Warhead",$D193*$E193*$G193*5,"")</calculatedColumnFormula>
    </tableColumn>
    <tableColumn id="25" name="dps" dataDxfId="34">
      <calculatedColumnFormula>Table19[[#This Row],[Nuke]]/Table19[[#This Row],[Cycle(s)]]</calculatedColumnFormula>
    </tableColumn>
    <tableColumn id="13" name="SPD" dataDxfId="33"/>
    <tableColumn id="14" name="TTL"/>
    <tableColumn id="15" name="MxRge" dataDxfId="32">
      <calculatedColumnFormula>N193*O193</calculatedColumnFormula>
    </tableColumn>
    <tableColumn id="16" name="seek_atn" dataDxfId="31"/>
    <tableColumn id="17" name="Health" dataDxfId="30"/>
    <tableColumn id="24" name="Mass" dataDxfId="29"/>
    <tableColumn id="18" name="est'" dataDxfId="28"/>
    <tableColumn id="19" name="est"/>
    <tableColumn id="20" name="frate" dataDxfId="27">
      <calculatedColumnFormula>VLOOKUP(F193,Standard_F_Rates,2)</calculatedColumnFormula>
    </tableColumn>
    <tableColumn id="27" name="sml" dataDxfId="26">
      <calculatedColumnFormula>VLOOKUP(Table19[[#This Row],[dps]],Small_Weapon_Damage_Table,2)</calculatedColumnFormula>
    </tableColumn>
    <tableColumn id="22" name="acc" dataDxfId="25">
      <calculatedColumnFormula>VLOOKUP(Table19[[#This Row],[dev]],Standard_Accuracy_Table,2)</calculatedColumnFormula>
    </tableColumn>
    <tableColumn id="23" name="rng" dataDxfId="24">
      <calculatedColumnFormula>VLOOKUP(P193,Standard_Range_Table,2)</calculatedColumnFormula>
    </tableColumn>
    <tableColumn id="21" name="dam" dataDxfId="23">
      <calculatedColumnFormula>VLOOKUP(H193,Missile_Damage_Table,2)</calculatedColumnFormula>
    </tableColumn>
    <tableColumn id="26" name="alt-d" dataDxfId="22">
      <calculatedColumnFormula>VLOOKUP(Table19[[#This Row],[Fusion]],Alt_Dmg_Table,2)</calculatedColumnFormula>
    </tableColumn>
    <tableColumn id="28" name="dev" dataDxfId="21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20" name="Table20" displayName="Table20" ref="A218:V224" totalsRowShown="0" headerRowDxfId="20" dataDxfId="19" headerRowCellStyle="Heading 1">
  <autoFilter ref="A218:V224"/>
  <tableColumns count="22">
    <tableColumn id="1" name="Weapon" dataDxfId="18"/>
    <tableColumn id="2" name="Type" dataDxfId="17"/>
    <tableColumn id="3" name="Mount" dataDxfId="16"/>
    <tableColumn id="4" name="Barrels" dataDxfId="15">
      <calculatedColumnFormula>IF(LEFT($A219,4) = "Dual",2,IF(LEFT($A219,6) = "Triple",3,1))</calculatedColumnFormula>
    </tableColumn>
    <tableColumn id="5" name="Whds"/>
    <tableColumn id="6" name="Dur" dataDxfId="14"/>
    <tableColumn id="7" name="Cycle(s)" dataDxfId="13"/>
    <tableColumn id="8" name="Dmg" dataDxfId="12"/>
    <tableColumn id="9" name="dps" dataDxfId="11">
      <calculatedColumnFormula>D219*E219*F219*H219/G219</calculatedColumnFormula>
    </tableColumn>
    <tableColumn id="10" name="Alpha*" dataDxfId="10">
      <calculatedColumnFormula>D219*E219*F219*H219</calculatedColumnFormula>
    </tableColumn>
    <tableColumn id="11" name="SPD" dataDxfId="9"/>
    <tableColumn id="12" name="TTL"/>
    <tableColumn id="13" name="MxRge" dataDxfId="8"/>
    <tableColumn id="14" name="seek_atn"/>
    <tableColumn id="15" name="Health" dataDxfId="7"/>
    <tableColumn id="22" name=" Mass" dataDxfId="6"/>
    <tableColumn id="16" name="est'" dataDxfId="5"/>
    <tableColumn id="17" name="est" dataDxfId="4"/>
    <tableColumn id="18" name="frate" dataDxfId="3"/>
    <tableColumn id="19" name="dam" dataDxfId="2"/>
    <tableColumn id="20" name="acc" dataDxfId="1">
      <calculatedColumnFormula>VLOOKUP(Z219+AA219,Standard_Accuracy_Table,2)</calculatedColumnFormula>
    </tableColumn>
    <tableColumn id="21" name="rng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comments" Target="../comments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4"/>
  <sheetViews>
    <sheetView tabSelected="1" topLeftCell="A125" zoomScale="85" zoomScaleNormal="85" workbookViewId="0">
      <selection activeCell="H158" sqref="H158"/>
    </sheetView>
  </sheetViews>
  <sheetFormatPr defaultRowHeight="15" x14ac:dyDescent="0.25"/>
  <cols>
    <col min="1" max="1" width="36.28515625" style="3" bestFit="1" customWidth="1"/>
    <col min="2" max="2" width="18.28515625" style="3" bestFit="1" customWidth="1"/>
    <col min="3" max="4" width="11.5703125" style="3" customWidth="1"/>
    <col min="5" max="5" width="10.140625" style="3" customWidth="1"/>
    <col min="6" max="6" width="12.28515625" style="23" customWidth="1"/>
    <col min="7" max="7" width="14.5703125" style="3" bestFit="1" customWidth="1"/>
    <col min="8" max="8" width="12.42578125" style="3" customWidth="1"/>
    <col min="9" max="10" width="12.5703125" style="3" customWidth="1"/>
    <col min="11" max="11" width="12.42578125" style="3" bestFit="1" customWidth="1"/>
    <col min="12" max="12" width="16.85546875" style="3" customWidth="1"/>
    <col min="13" max="13" width="12.140625" style="21" customWidth="1"/>
    <col min="14" max="14" width="14.140625" style="21" customWidth="1"/>
    <col min="15" max="15" width="11.42578125" style="3" customWidth="1"/>
    <col min="16" max="16" width="14.140625" style="3" customWidth="1"/>
    <col min="17" max="17" width="12.28515625" style="3" bestFit="1" customWidth="1"/>
    <col min="18" max="19" width="9.140625" style="3" customWidth="1"/>
    <col min="20" max="20" width="10" style="3" customWidth="1"/>
    <col min="21" max="21" width="8.5703125" style="3" customWidth="1"/>
    <col min="22" max="22" width="10" style="3" customWidth="1"/>
    <col min="23" max="23" width="7.28515625" style="3" customWidth="1"/>
    <col min="24" max="24" width="11.5703125" style="3" customWidth="1"/>
    <col min="25" max="25" width="12.140625" style="3" bestFit="1" customWidth="1"/>
    <col min="26" max="26" width="12.7109375" style="10" bestFit="1" customWidth="1"/>
    <col min="27" max="27" width="12" style="10" customWidth="1"/>
    <col min="28" max="16384" width="9.140625" style="3"/>
  </cols>
  <sheetData>
    <row r="2" spans="1:29" ht="23.25" x14ac:dyDescent="0.35">
      <c r="A2" s="50" t="s">
        <v>200</v>
      </c>
      <c r="C2" s="20"/>
      <c r="D2" s="20"/>
      <c r="E2" s="20"/>
      <c r="F2" s="20"/>
      <c r="H2" s="20"/>
      <c r="I2" s="20"/>
      <c r="J2" s="20"/>
      <c r="K2" s="20"/>
      <c r="L2" s="20"/>
      <c r="M2" s="20"/>
      <c r="O2" s="20"/>
      <c r="P2" s="20"/>
      <c r="Q2" s="20"/>
    </row>
    <row r="3" spans="1:29" s="56" customFormat="1" ht="20.25" customHeight="1" x14ac:dyDescent="0.3">
      <c r="A3" s="51" t="s">
        <v>0</v>
      </c>
      <c r="B3" s="51" t="s">
        <v>15</v>
      </c>
      <c r="C3" s="51" t="s">
        <v>64</v>
      </c>
      <c r="D3" s="51" t="s">
        <v>143</v>
      </c>
      <c r="E3" s="51" t="s">
        <v>173</v>
      </c>
      <c r="F3" s="52" t="s">
        <v>244</v>
      </c>
      <c r="G3" s="51" t="s">
        <v>185</v>
      </c>
      <c r="H3" s="51" t="s">
        <v>184</v>
      </c>
      <c r="I3" s="51" t="s">
        <v>180</v>
      </c>
      <c r="J3" s="51" t="s">
        <v>181</v>
      </c>
      <c r="K3" s="51" t="s">
        <v>182</v>
      </c>
      <c r="L3" s="51" t="s">
        <v>186</v>
      </c>
      <c r="M3" s="53" t="s">
        <v>88</v>
      </c>
      <c r="N3" s="53" t="s">
        <v>164</v>
      </c>
      <c r="O3" s="51" t="s">
        <v>183</v>
      </c>
      <c r="P3" s="51" t="s">
        <v>172</v>
      </c>
      <c r="Q3" s="51" t="s">
        <v>199</v>
      </c>
      <c r="R3" s="51" t="s">
        <v>166</v>
      </c>
      <c r="S3" s="51" t="s">
        <v>165</v>
      </c>
      <c r="T3" s="51" t="s">
        <v>59</v>
      </c>
      <c r="U3" s="51" t="s">
        <v>60</v>
      </c>
      <c r="V3" s="51" t="s">
        <v>61</v>
      </c>
      <c r="W3" s="51" t="s">
        <v>187</v>
      </c>
      <c r="X3" s="51" t="s">
        <v>174</v>
      </c>
      <c r="Y3" s="51" t="s">
        <v>175</v>
      </c>
      <c r="Z3" s="55" t="s">
        <v>197</v>
      </c>
      <c r="AA3" s="55" t="s">
        <v>196</v>
      </c>
    </row>
    <row r="4" spans="1:29" x14ac:dyDescent="0.25">
      <c r="A4" s="14" t="s">
        <v>21</v>
      </c>
      <c r="B4" s="14" t="s">
        <v>16</v>
      </c>
      <c r="C4" s="14" t="s">
        <v>4</v>
      </c>
      <c r="D4" s="14">
        <f>IF(LEFT($A4,4) = "Dual",2,IF(LEFT($A4,6) = "Triple",3,1))</f>
        <v>1</v>
      </c>
      <c r="E4" s="14">
        <v>1</v>
      </c>
      <c r="F4" s="15">
        <v>1</v>
      </c>
      <c r="G4" s="14">
        <v>5</v>
      </c>
      <c r="H4" s="14">
        <v>250</v>
      </c>
      <c r="I4" s="14">
        <v>250</v>
      </c>
      <c r="J4" s="14">
        <v>250</v>
      </c>
      <c r="K4" s="16">
        <f>H4*$E4/$G4</f>
        <v>50</v>
      </c>
      <c r="L4" s="17">
        <f>IF($G4&lt;&gt;0,$D4*$E4*$F4*I4/$G4,)</f>
        <v>50</v>
      </c>
      <c r="M4" s="18">
        <f>IF($B4 = "Ballistic", 1.25*$L4,$L4)</f>
        <v>62.5</v>
      </c>
      <c r="N4" s="18">
        <f>IF($B4 = "Ballistic", $M4*1.5,$M4)</f>
        <v>93.75</v>
      </c>
      <c r="O4" s="16">
        <f>IF($G4&lt;&gt;0,$D4*$E4*$F4*J4/$G4,)</f>
        <v>50</v>
      </c>
      <c r="P4" s="19">
        <f>$D4*$I4*$F4</f>
        <v>250</v>
      </c>
      <c r="Q4" s="19">
        <f>$D4*$E4*$F4*$J4</f>
        <v>250</v>
      </c>
      <c r="R4" s="14"/>
      <c r="S4" s="14"/>
      <c r="T4" s="14">
        <f>VLOOKUP(G4,Standard_F_Rates,2)</f>
        <v>8</v>
      </c>
      <c r="U4" s="14">
        <f>IF(C4="Medium",VLOOKUP(L4,Medium_Weapon_Damage_Table,2),IF(C4="Small",VLOOKUP(L4,Small_Weapon_Damage_Table,2),IF(C4="Projector",VLOOKUP(L4,Projector_Weapon_Damage_Table,2),VLOOKUP(L4,Large_Weapon_Damage_Table,2))))</f>
        <v>2</v>
      </c>
      <c r="V4" s="14">
        <f>VLOOKUP(Z4+AA4,Standard_Accuracy_Table,2)</f>
        <v>1</v>
      </c>
      <c r="W4" s="14">
        <f>VLOOKUP(X4,Standard_Range_Table,2)</f>
        <v>8</v>
      </c>
      <c r="X4" s="14">
        <v>2000</v>
      </c>
      <c r="Y4" s="16">
        <f>$D4*$E4/$G4</f>
        <v>0.2</v>
      </c>
      <c r="Z4" s="22">
        <v>7.5</v>
      </c>
      <c r="AA4" s="22"/>
    </row>
    <row r="5" spans="1:29" x14ac:dyDescent="0.25">
      <c r="A5" s="14" t="s">
        <v>206</v>
      </c>
      <c r="B5" s="14" t="s">
        <v>16</v>
      </c>
      <c r="C5" s="14" t="s">
        <v>18</v>
      </c>
      <c r="D5" s="14">
        <f>IF(LEFT($A5,4) = "Dual",2,IF(LEFT($A5,6) = "Triple",3,1))</f>
        <v>1</v>
      </c>
      <c r="E5" s="14">
        <v>12</v>
      </c>
      <c r="F5" s="15">
        <v>1</v>
      </c>
      <c r="G5" s="14">
        <v>5</v>
      </c>
      <c r="H5" s="14">
        <v>170</v>
      </c>
      <c r="I5" s="14">
        <v>170</v>
      </c>
      <c r="J5" s="14">
        <v>170</v>
      </c>
      <c r="K5" s="16">
        <f>H5*$E5/$G5</f>
        <v>408</v>
      </c>
      <c r="L5" s="17">
        <f>IF($G5&lt;&gt;0,$D5*$E5*$F5*I5/$G5,)</f>
        <v>408</v>
      </c>
      <c r="M5" s="18">
        <f>IF($B5 = "Ballistic", 1.25*$L5,$L5)</f>
        <v>510</v>
      </c>
      <c r="N5" s="18">
        <f>IF($B5 = "Ballistic", $M5*1.5,$M5)</f>
        <v>765</v>
      </c>
      <c r="O5" s="16">
        <f>IF($G5&lt;&gt;0,$D5*$E5*$F5*J5/$G5,)</f>
        <v>408</v>
      </c>
      <c r="P5" s="19">
        <f>$D5*$I5*$F5</f>
        <v>170</v>
      </c>
      <c r="Q5" s="19">
        <f>$D5*$E5*$F5*$J5</f>
        <v>2040</v>
      </c>
      <c r="R5" s="14"/>
      <c r="S5" s="14"/>
      <c r="T5" s="14">
        <f>VLOOKUP(G5,Standard_F_Rates,2)</f>
        <v>8</v>
      </c>
      <c r="U5" s="14">
        <f>IF(C5="Medium",VLOOKUP(L5,Medium_Weapon_Damage_Table,2),IF(C5="Small",VLOOKUP(L5,Small_Weapon_Damage_Table,2),IF(C5="Projector",VLOOKUP(L5,Projector_Weapon_Damage_Table,2),VLOOKUP(L5,Large_Weapon_Damage_Table,2))))</f>
        <v>10</v>
      </c>
      <c r="V5" s="14">
        <f>VLOOKUP(Z5+AA5,Standard_Accuracy_Table,2)</f>
        <v>7</v>
      </c>
      <c r="W5" s="14">
        <f>VLOOKUP(X5,Standard_Range_Table,2)</f>
        <v>1</v>
      </c>
      <c r="X5" s="14">
        <v>100</v>
      </c>
      <c r="Y5" s="16">
        <f>$D5*$E5/$G5</f>
        <v>2.4</v>
      </c>
      <c r="Z5" s="22">
        <v>1</v>
      </c>
      <c r="AA5" s="22"/>
    </row>
    <row r="6" spans="1:29" x14ac:dyDescent="0.25">
      <c r="A6" s="34" t="s">
        <v>205</v>
      </c>
      <c r="B6" s="34" t="s">
        <v>16</v>
      </c>
      <c r="C6" s="34" t="s">
        <v>4</v>
      </c>
      <c r="D6" s="34">
        <f>IF(LEFT($A6,4) = "Dual",2,IF(LEFT($A6,6) = "Triple",3,1))</f>
        <v>1</v>
      </c>
      <c r="E6" s="34">
        <v>15</v>
      </c>
      <c r="F6" s="35">
        <v>1</v>
      </c>
      <c r="G6" s="34">
        <v>10</v>
      </c>
      <c r="H6" s="34">
        <v>150</v>
      </c>
      <c r="I6" s="34">
        <v>150</v>
      </c>
      <c r="J6" s="34">
        <v>150</v>
      </c>
      <c r="K6" s="36">
        <f>H6*$E6/$G6</f>
        <v>225</v>
      </c>
      <c r="L6" s="37">
        <f>IF($G6&lt;&gt;0,$D6*$E6*$F6*I6/$G6,)</f>
        <v>225</v>
      </c>
      <c r="M6" s="38">
        <f>IF($B6 = "Ballistic", 1.25*$L6,$L6)</f>
        <v>281.25</v>
      </c>
      <c r="N6" s="38">
        <f>IF($B6 = "Ballistic", $M6*1.5,$M6)</f>
        <v>421.875</v>
      </c>
      <c r="O6" s="36">
        <f>IF($G6&lt;&gt;0,$D6*$E6*$F6*J6/$G6,)</f>
        <v>225</v>
      </c>
      <c r="P6" s="40">
        <f>$D6*$I6*$F6</f>
        <v>150</v>
      </c>
      <c r="Q6" s="40">
        <f>$D6*$E6*$F6*$J6</f>
        <v>2250</v>
      </c>
      <c r="R6" s="34"/>
      <c r="S6" s="34"/>
      <c r="T6" s="34">
        <f>VLOOKUP(G6,Standard_F_Rates,2)</f>
        <v>4</v>
      </c>
      <c r="U6" s="34">
        <f>IF(C6="Medium",VLOOKUP(L6,Medium_Weapon_Damage_Table,2),IF(C6="Small",VLOOKUP(L6,Small_Weapon_Damage_Table,2),IF(C6="Projector",VLOOKUP(L6,Projector_Weapon_Damage_Table,2),VLOOKUP(L6,Large_Weapon_Damage_Table,2))))</f>
        <v>10</v>
      </c>
      <c r="V6" s="34">
        <f>VLOOKUP(Z6+AA6,Standard_Accuracy_Table,2)</f>
        <v>4</v>
      </c>
      <c r="W6" s="34">
        <f>VLOOKUP(X6,Standard_Range_Table,2)</f>
        <v>10</v>
      </c>
      <c r="X6" s="34">
        <v>4000</v>
      </c>
      <c r="Y6" s="36">
        <f>$D6*$E6/$G6</f>
        <v>1.5</v>
      </c>
      <c r="Z6" s="39">
        <v>3</v>
      </c>
      <c r="AA6" s="39"/>
    </row>
    <row r="7" spans="1:29" x14ac:dyDescent="0.25">
      <c r="A7" s="34"/>
      <c r="B7" s="34"/>
      <c r="C7" s="34"/>
      <c r="D7" s="34"/>
      <c r="E7" s="34"/>
      <c r="F7" s="35"/>
      <c r="G7" s="34"/>
      <c r="H7" s="34"/>
      <c r="I7" s="34"/>
      <c r="J7" s="34"/>
      <c r="K7" s="36"/>
      <c r="L7" s="37"/>
      <c r="M7" s="38"/>
      <c r="N7" s="38"/>
      <c r="O7" s="36"/>
      <c r="P7" s="41"/>
      <c r="Q7" s="41"/>
      <c r="R7" s="34"/>
      <c r="S7" s="34"/>
      <c r="T7" s="34"/>
      <c r="U7" s="34"/>
      <c r="V7" s="34"/>
      <c r="W7" s="34"/>
      <c r="X7" s="34"/>
      <c r="Y7" s="36"/>
      <c r="Z7" s="39"/>
      <c r="AA7" s="39"/>
    </row>
    <row r="8" spans="1:29" ht="23.25" x14ac:dyDescent="0.35">
      <c r="A8" s="49" t="s">
        <v>32</v>
      </c>
      <c r="C8" s="20"/>
      <c r="D8" s="20"/>
      <c r="E8" s="20"/>
      <c r="F8" s="20"/>
      <c r="H8" s="20"/>
      <c r="I8" s="20"/>
      <c r="J8" s="20"/>
      <c r="K8" s="20"/>
      <c r="L8" s="20"/>
      <c r="M8" s="20"/>
      <c r="O8" s="20"/>
      <c r="P8" s="20"/>
      <c r="Q8" s="20"/>
    </row>
    <row r="9" spans="1:29" s="56" customFormat="1" ht="20.25" customHeight="1" x14ac:dyDescent="0.3">
      <c r="A9" s="51" t="s">
        <v>0</v>
      </c>
      <c r="B9" s="51" t="s">
        <v>15</v>
      </c>
      <c r="C9" s="51" t="s">
        <v>64</v>
      </c>
      <c r="D9" s="51" t="s">
        <v>143</v>
      </c>
      <c r="E9" s="51" t="s">
        <v>173</v>
      </c>
      <c r="F9" s="52" t="s">
        <v>244</v>
      </c>
      <c r="G9" s="51" t="s">
        <v>185</v>
      </c>
      <c r="H9" s="51" t="s">
        <v>184</v>
      </c>
      <c r="I9" s="51" t="s">
        <v>180</v>
      </c>
      <c r="J9" s="51" t="s">
        <v>181</v>
      </c>
      <c r="K9" s="51" t="s">
        <v>182</v>
      </c>
      <c r="L9" s="51" t="s">
        <v>186</v>
      </c>
      <c r="M9" s="53" t="s">
        <v>88</v>
      </c>
      <c r="N9" s="53" t="s">
        <v>164</v>
      </c>
      <c r="O9" s="51" t="s">
        <v>183</v>
      </c>
      <c r="P9" s="51" t="s">
        <v>172</v>
      </c>
      <c r="Q9" s="51" t="s">
        <v>199</v>
      </c>
      <c r="R9" s="51" t="s">
        <v>166</v>
      </c>
      <c r="S9" s="51" t="s">
        <v>165</v>
      </c>
      <c r="T9" s="51" t="s">
        <v>59</v>
      </c>
      <c r="U9" s="51" t="s">
        <v>60</v>
      </c>
      <c r="V9" s="51" t="s">
        <v>61</v>
      </c>
      <c r="W9" s="51" t="s">
        <v>187</v>
      </c>
      <c r="X9" s="51" t="s">
        <v>174</v>
      </c>
      <c r="Y9" s="51" t="s">
        <v>175</v>
      </c>
      <c r="Z9" s="55" t="s">
        <v>197</v>
      </c>
      <c r="AA9" s="55" t="s">
        <v>196</v>
      </c>
    </row>
    <row r="10" spans="1:29" s="2" customFormat="1" x14ac:dyDescent="0.25">
      <c r="A10" s="5" t="s">
        <v>101</v>
      </c>
      <c r="B10" s="5" t="s">
        <v>34</v>
      </c>
      <c r="C10" s="5" t="s">
        <v>49</v>
      </c>
      <c r="D10" s="5">
        <f t="shared" ref="D10" si="0">IF(LEFT($A10,4) = "Dual",2,IF(LEFT($A10,6) = "Triple",3,1))</f>
        <v>1</v>
      </c>
      <c r="E10" s="5">
        <v>1</v>
      </c>
      <c r="F10" s="6">
        <v>5</v>
      </c>
      <c r="G10" s="5">
        <v>25</v>
      </c>
      <c r="H10" s="5">
        <v>12550</v>
      </c>
      <c r="I10" s="5">
        <v>12550</v>
      </c>
      <c r="J10" s="5">
        <v>12550</v>
      </c>
      <c r="K10" s="7">
        <f t="shared" ref="K10:L10" si="1">IF($G10&lt;&gt;0,$D10*$E10*$F10*H10/$G10,)</f>
        <v>2510</v>
      </c>
      <c r="L10" s="11">
        <f t="shared" si="1"/>
        <v>2510</v>
      </c>
      <c r="M10" s="13">
        <f>IF($B10 = "Ballistic", 1.25*$L10,$L10)</f>
        <v>2510</v>
      </c>
      <c r="N10" s="13">
        <f>IF($B10 = "Ballistic", $M10*1.5,$M10)</f>
        <v>2510</v>
      </c>
      <c r="O10" s="7">
        <f>IF($G10&lt;&gt;0,$D10*$E10*$F10*J10/$G10,)</f>
        <v>2510</v>
      </c>
      <c r="P10" s="9">
        <f>$D10*$I10*$F10</f>
        <v>62750</v>
      </c>
      <c r="Q10" s="9">
        <f t="shared" ref="Q10" si="2">$D10*$E10*$F10*$J10</f>
        <v>62750</v>
      </c>
      <c r="R10" s="5">
        <v>700</v>
      </c>
      <c r="S10" s="12">
        <v>1100</v>
      </c>
      <c r="T10" s="5">
        <f>VLOOKUP(G10,Standard_F_Rates,2)</f>
        <v>1</v>
      </c>
      <c r="U10" s="5">
        <f>IF(C10="Medium",VLOOKUP(L10,Medium_Weapon_Damage_Table,2),IF(C10="Small",VLOOKUP(L10,Small_Weapon_Damage_Table,2),IF(C10="Projector",VLOOKUP(L10,Projector_Weapon_Damage_Table,2),VLOOKUP(L10,Large_Weapon_Damage_Table,2))))</f>
        <v>10</v>
      </c>
      <c r="V10" s="5">
        <f>VLOOKUP(Z10+AA10,Standard_Accuracy_Table,2)</f>
        <v>10</v>
      </c>
      <c r="W10" s="5">
        <f>VLOOKUP(X10,Standard_Range_Table,2)</f>
        <v>4</v>
      </c>
      <c r="X10" s="5">
        <v>900</v>
      </c>
      <c r="Y10" s="7">
        <f t="shared" ref="Y10" si="3">$D10*$E10/$G10</f>
        <v>0.04</v>
      </c>
      <c r="Z10" s="5">
        <v>0</v>
      </c>
      <c r="AA10" s="5"/>
    </row>
    <row r="11" spans="1:29" x14ac:dyDescent="0.25">
      <c r="A11" s="5"/>
      <c r="B11" s="5"/>
      <c r="C11" s="5"/>
      <c r="D11" s="5"/>
      <c r="E11" s="5"/>
      <c r="F11" s="6"/>
      <c r="G11" s="5"/>
      <c r="H11" s="5"/>
      <c r="I11" s="5"/>
      <c r="J11" s="5"/>
      <c r="K11" s="7"/>
      <c r="L11" s="11"/>
      <c r="M11" s="13"/>
      <c r="N11" s="13"/>
      <c r="O11" s="7"/>
      <c r="P11" s="9"/>
      <c r="Q11" s="9"/>
      <c r="R11" s="5"/>
      <c r="S11" s="12"/>
      <c r="T11" s="5"/>
      <c r="U11" s="5"/>
      <c r="V11" s="5"/>
      <c r="W11" s="5"/>
      <c r="X11" s="5"/>
      <c r="Y11" s="7"/>
    </row>
    <row r="12" spans="1:29" ht="23.25" x14ac:dyDescent="0.35">
      <c r="A12" s="48" t="s">
        <v>31</v>
      </c>
      <c r="C12" s="20"/>
      <c r="D12" s="20"/>
      <c r="E12" s="20"/>
      <c r="F12" s="20"/>
      <c r="H12" s="20"/>
      <c r="I12" s="20"/>
      <c r="J12" s="20"/>
      <c r="K12" s="20"/>
      <c r="L12" s="20"/>
      <c r="M12" s="20"/>
      <c r="O12" s="20"/>
      <c r="P12" s="20"/>
      <c r="Q12" s="24"/>
    </row>
    <row r="13" spans="1:29" s="56" customFormat="1" ht="20.25" customHeight="1" x14ac:dyDescent="0.3">
      <c r="A13" s="51" t="s">
        <v>0</v>
      </c>
      <c r="B13" s="51" t="s">
        <v>15</v>
      </c>
      <c r="C13" s="51" t="s">
        <v>64</v>
      </c>
      <c r="D13" s="51" t="s">
        <v>143</v>
      </c>
      <c r="E13" s="51" t="s">
        <v>173</v>
      </c>
      <c r="F13" s="52" t="s">
        <v>244</v>
      </c>
      <c r="G13" s="52" t="s">
        <v>319</v>
      </c>
      <c r="H13" s="51" t="s">
        <v>185</v>
      </c>
      <c r="I13" s="51" t="s">
        <v>184</v>
      </c>
      <c r="J13" s="51" t="s">
        <v>180</v>
      </c>
      <c r="K13" s="51" t="s">
        <v>181</v>
      </c>
      <c r="L13" s="51" t="s">
        <v>182</v>
      </c>
      <c r="M13" s="51" t="s">
        <v>186</v>
      </c>
      <c r="N13" s="53" t="s">
        <v>88</v>
      </c>
      <c r="O13" s="53" t="s">
        <v>164</v>
      </c>
      <c r="P13" s="51" t="s">
        <v>183</v>
      </c>
      <c r="Q13" s="51" t="s">
        <v>172</v>
      </c>
      <c r="R13" s="51" t="s">
        <v>199</v>
      </c>
      <c r="S13" s="51" t="s">
        <v>166</v>
      </c>
      <c r="T13" s="51" t="s">
        <v>165</v>
      </c>
      <c r="U13" s="51" t="s">
        <v>59</v>
      </c>
      <c r="V13" s="51" t="s">
        <v>60</v>
      </c>
      <c r="W13" s="51" t="s">
        <v>61</v>
      </c>
      <c r="X13" s="51" t="s">
        <v>187</v>
      </c>
      <c r="Y13" s="51" t="s">
        <v>174</v>
      </c>
      <c r="Z13" s="51" t="s">
        <v>175</v>
      </c>
      <c r="AA13" s="55" t="s">
        <v>197</v>
      </c>
      <c r="AB13" s="55" t="s">
        <v>196</v>
      </c>
      <c r="AC13" s="54"/>
    </row>
    <row r="14" spans="1:29" s="2" customFormat="1" x14ac:dyDescent="0.25">
      <c r="A14" s="5" t="s">
        <v>160</v>
      </c>
      <c r="B14" s="5" t="s">
        <v>16</v>
      </c>
      <c r="C14" s="5" t="s">
        <v>72</v>
      </c>
      <c r="D14" s="5">
        <f>IF(LEFT($A14,4) = "Dual",2,IF(LEFT($A14,6) = "Triple",3,1))</f>
        <v>3</v>
      </c>
      <c r="E14" s="5">
        <v>1</v>
      </c>
      <c r="F14" s="6">
        <v>1</v>
      </c>
      <c r="G14" s="5">
        <v>5</v>
      </c>
      <c r="H14" s="7">
        <f>IF(Table12[[#This Row],[Barrels]]&gt;1,Table12[[#This Row],[Recharge]]*1.33333333,Table12[[#This Row],[Recharge]])</f>
        <v>6.6666666500000007</v>
      </c>
      <c r="I14" s="5">
        <v>450</v>
      </c>
      <c r="J14" s="5">
        <v>450</v>
      </c>
      <c r="K14" s="5">
        <v>450</v>
      </c>
      <c r="L14" s="7">
        <f>I14*$E14/$H14</f>
        <v>67.500000168749992</v>
      </c>
      <c r="M14" s="11">
        <f>IF($H14&lt;&gt;0,$D14*$E14*$F14*J14/$H14,)</f>
        <v>202.50000050624999</v>
      </c>
      <c r="N14" s="13">
        <f>IF($B14 = "Ballistic", 1.25*$M14,$M14)</f>
        <v>253.12500063281249</v>
      </c>
      <c r="O14" s="13">
        <f>IF($B14 = "Ballistic", $N14*1.5,$N14)</f>
        <v>379.6875009492187</v>
      </c>
      <c r="P14" s="7">
        <f>IF($H14&lt;&gt;0,$D14*$E14*$F14*K14/$H14,)</f>
        <v>202.50000050624999</v>
      </c>
      <c r="Q14" s="9">
        <f>$D14*$J14*$F14</f>
        <v>1350</v>
      </c>
      <c r="R14" s="9">
        <f>$D14*$E14*$F14*$K14</f>
        <v>1350</v>
      </c>
      <c r="S14" s="5"/>
      <c r="T14" s="12">
        <v>480</v>
      </c>
      <c r="U14" s="5">
        <f>VLOOKUP(H14,Standard_F_Rates,2)</f>
        <v>6</v>
      </c>
      <c r="V14" s="5">
        <f>MAX(VLOOKUP(R14,Alt_Dmg_Table,2),IF(C14="Medium",VLOOKUP(M14,Medium_Weapon_Damage_Table,2),IF(C14="Small",VLOOKUP(M14,Small_Weapon_Damage_Table,2),IF(C14="Projector",VLOOKUP(M14,Projector_Weapon_Damage_Table,2),VLOOKUP(M14,Large_Weapon_Damage_Table,2)))))</f>
        <v>10</v>
      </c>
      <c r="W14" s="5">
        <f>VLOOKUP(AA14+AB14,Standard_Accuracy_Table,2)</f>
        <v>3</v>
      </c>
      <c r="X14" s="5">
        <f>VLOOKUP(Y14,Standard_Range_Table,2)</f>
        <v>8</v>
      </c>
      <c r="Y14" s="5">
        <v>2000</v>
      </c>
      <c r="Z14" s="7">
        <f>$D14*$E14/$H14</f>
        <v>0.45000000112499994</v>
      </c>
      <c r="AA14" s="5">
        <v>4</v>
      </c>
      <c r="AB14" s="10"/>
      <c r="AC14" s="3"/>
    </row>
    <row r="15" spans="1:29" s="2" customFormat="1" x14ac:dyDescent="0.25">
      <c r="A15" s="5" t="s">
        <v>73</v>
      </c>
      <c r="B15" s="5" t="s">
        <v>26</v>
      </c>
      <c r="C15" s="5" t="s">
        <v>65</v>
      </c>
      <c r="D15" s="5">
        <f>IF(LEFT($A15,4) = "Dual",2,IF(LEFT($A15,6) = "Triple",3,1))</f>
        <v>1</v>
      </c>
      <c r="E15" s="5">
        <v>9</v>
      </c>
      <c r="F15" s="6">
        <v>0.75</v>
      </c>
      <c r="G15" s="5">
        <v>10</v>
      </c>
      <c r="H15" s="7">
        <f>IF(Table12[[#This Row],[Barrels]]&gt;1,Table12[[#This Row],[Recharge]]*1.33333333,Table12[[#This Row],[Recharge]])</f>
        <v>10</v>
      </c>
      <c r="I15" s="5">
        <v>275</v>
      </c>
      <c r="J15" s="5">
        <v>275</v>
      </c>
      <c r="K15" s="5">
        <v>275</v>
      </c>
      <c r="L15" s="7">
        <f>I15*$E15/$H15</f>
        <v>247.5</v>
      </c>
      <c r="M15" s="11">
        <f>IF($H15&lt;&gt;0,$D15*$E15*$F15*J15/$H15,)</f>
        <v>185.625</v>
      </c>
      <c r="N15" s="13">
        <f>IF($B15 = "Ballistic", 1.25*$M15,$M15)</f>
        <v>185.625</v>
      </c>
      <c r="O15" s="13">
        <f>IF($B15 = "Ballistic", $N15*1.5,$N15)</f>
        <v>185.625</v>
      </c>
      <c r="P15" s="7">
        <f>IF($H15&lt;&gt;0,$D15*$E15*$F15*K15/$H15,)</f>
        <v>185.625</v>
      </c>
      <c r="Q15" s="9">
        <f>$D15*$J15*$F15</f>
        <v>206.25</v>
      </c>
      <c r="R15" s="9">
        <f>$D15*$E15*$F15*$K15</f>
        <v>1856.25</v>
      </c>
      <c r="S15" s="5"/>
      <c r="T15" s="12">
        <v>250</v>
      </c>
      <c r="U15" s="5">
        <f>VLOOKUP(H15,Standard_F_Rates,2)</f>
        <v>4</v>
      </c>
      <c r="V15" s="5">
        <f>MAX(VLOOKUP(R15,Alt_Dmg_Table,2),IF(C15="Medium",VLOOKUP(M15,Medium_Weapon_Damage_Table,2),IF(C15="Small",VLOOKUP(M15,Small_Weapon_Damage_Table,2),IF(C15="Projector",VLOOKUP(M15,Projector_Weapon_Damage_Table,2),VLOOKUP(M15,Large_Weapon_Damage_Table,2)))))</f>
        <v>9</v>
      </c>
      <c r="W15" s="5">
        <f>VLOOKUP(AA15+AB15,Standard_Accuracy_Table,2)</f>
        <v>10</v>
      </c>
      <c r="X15" s="5">
        <f>VLOOKUP(Y15,Standard_Range_Table,2)</f>
        <v>3</v>
      </c>
      <c r="Y15" s="5">
        <v>750</v>
      </c>
      <c r="Z15" s="7">
        <f>$D15*$E15/$H15</f>
        <v>0.9</v>
      </c>
      <c r="AA15" s="5">
        <v>0</v>
      </c>
      <c r="AB15" s="10"/>
      <c r="AC15" s="3"/>
    </row>
    <row r="16" spans="1:29" s="2" customFormat="1" x14ac:dyDescent="0.25">
      <c r="A16" s="5" t="s">
        <v>57</v>
      </c>
      <c r="B16" s="5" t="s">
        <v>26</v>
      </c>
      <c r="C16" s="5" t="s">
        <v>72</v>
      </c>
      <c r="D16" s="5">
        <f>IF(LEFT($A16,4) = "Dual",2,IF(LEFT($A16,6) = "Triple",3,1))</f>
        <v>1</v>
      </c>
      <c r="E16" s="5">
        <v>9</v>
      </c>
      <c r="F16" s="6">
        <v>0.75</v>
      </c>
      <c r="G16" s="5">
        <v>10</v>
      </c>
      <c r="H16" s="7">
        <f>IF(Table12[[#This Row],[Barrels]]&gt;1,Table12[[#This Row],[Recharge]]*1.33333333,Table12[[#This Row],[Recharge]])</f>
        <v>10</v>
      </c>
      <c r="I16" s="5">
        <v>275</v>
      </c>
      <c r="J16" s="5">
        <v>275</v>
      </c>
      <c r="K16" s="5">
        <v>275</v>
      </c>
      <c r="L16" s="7">
        <f>I16*$E16/$H16</f>
        <v>247.5</v>
      </c>
      <c r="M16" s="11">
        <f>IF($H16&lt;&gt;0,$D16*$E16*$F16*J16/$H16,)</f>
        <v>185.625</v>
      </c>
      <c r="N16" s="13">
        <f>IF($B16 = "Ballistic", 1.25*$M16,$M16)</f>
        <v>185.625</v>
      </c>
      <c r="O16" s="13">
        <f>IF($B16 = "Ballistic", $N16*1.5,$N16)</f>
        <v>185.625</v>
      </c>
      <c r="P16" s="7">
        <f>IF($H16&lt;&gt;0,$D16*$E16*$F16*K16/$H16,)</f>
        <v>185.625</v>
      </c>
      <c r="Q16" s="9">
        <f>$D16*$J16*$F16</f>
        <v>206.25</v>
      </c>
      <c r="R16" s="9">
        <f>$D16*$E16*$F16*$K16</f>
        <v>1856.25</v>
      </c>
      <c r="S16" s="5">
        <v>200</v>
      </c>
      <c r="T16" s="12">
        <v>250</v>
      </c>
      <c r="U16" s="5">
        <f>VLOOKUP(H16,Standard_F_Rates,2)</f>
        <v>4</v>
      </c>
      <c r="V16" s="5">
        <f>MAX(VLOOKUP(R16,Alt_Dmg_Table,2),IF(C16="Medium",VLOOKUP(M16,Medium_Weapon_Damage_Table,2),IF(C16="Small",VLOOKUP(M16,Small_Weapon_Damage_Table,2),IF(C16="Projector",VLOOKUP(M16,Projector_Weapon_Damage_Table,2),VLOOKUP(M16,Large_Weapon_Damage_Table,2)))))</f>
        <v>9</v>
      </c>
      <c r="W16" s="5">
        <f>VLOOKUP(AA16+AB16,Standard_Accuracy_Table,2)</f>
        <v>10</v>
      </c>
      <c r="X16" s="5">
        <f>VLOOKUP(Y16,Standard_Range_Table,2)</f>
        <v>3</v>
      </c>
      <c r="Y16" s="5">
        <v>750</v>
      </c>
      <c r="Z16" s="7">
        <f>$D16*$E16/$H16</f>
        <v>0.9</v>
      </c>
      <c r="AA16" s="5">
        <v>0</v>
      </c>
      <c r="AB16" s="10"/>
      <c r="AC16" s="3"/>
    </row>
    <row r="17" spans="1:29" s="2" customFormat="1" x14ac:dyDescent="0.25">
      <c r="A17" s="5" t="s">
        <v>74</v>
      </c>
      <c r="B17" s="5" t="s">
        <v>19</v>
      </c>
      <c r="C17" s="5" t="s">
        <v>65</v>
      </c>
      <c r="D17" s="5">
        <f>IF(LEFT($A17,4) = "Dual",2,IF(LEFT($A17,6) = "Triple",3,1))</f>
        <v>1</v>
      </c>
      <c r="E17" s="5">
        <v>1</v>
      </c>
      <c r="F17" s="6">
        <v>4</v>
      </c>
      <c r="G17" s="5">
        <v>12</v>
      </c>
      <c r="H17" s="7">
        <f>IF(Table12[[#This Row],[Barrels]]&gt;1,Table12[[#This Row],[Recharge]]*1.33333333,Table12[[#This Row],[Recharge]])</f>
        <v>12</v>
      </c>
      <c r="I17" s="5">
        <v>550</v>
      </c>
      <c r="J17" s="5">
        <v>550</v>
      </c>
      <c r="K17" s="5">
        <v>550</v>
      </c>
      <c r="L17" s="7">
        <f>I17*$E17/$H17</f>
        <v>45.833333333333336</v>
      </c>
      <c r="M17" s="11">
        <f>IF($H17&lt;&gt;0,$D17*$E17*$F17*J17/$H17,)</f>
        <v>183.33333333333334</v>
      </c>
      <c r="N17" s="13">
        <f>IF($B17 = "Ballistic", 1.25*$M17,$M17)</f>
        <v>183.33333333333334</v>
      </c>
      <c r="O17" s="13">
        <f>IF($B17 = "Ballistic", $N17*1.5,$N17)</f>
        <v>183.33333333333334</v>
      </c>
      <c r="P17" s="7">
        <f>IF($H17&lt;&gt;0,$D17*$E17*$F17*K17/$H17,)</f>
        <v>183.33333333333334</v>
      </c>
      <c r="Q17" s="9">
        <f>$D17*$J17*$F17</f>
        <v>2200</v>
      </c>
      <c r="R17" s="9">
        <f>$D17*$E17*$F17*$K17</f>
        <v>2200</v>
      </c>
      <c r="S17" s="5"/>
      <c r="T17" s="12">
        <v>500</v>
      </c>
      <c r="U17" s="5">
        <f>VLOOKUP(H17,Standard_F_Rates,2)</f>
        <v>3</v>
      </c>
      <c r="V17" s="5">
        <f>MAX(VLOOKUP(R17,Alt_Dmg_Table,2),IF(C17="Medium",VLOOKUP(M17,Medium_Weapon_Damage_Table,2),IF(C17="Small",VLOOKUP(M17,Small_Weapon_Damage_Table,2),IF(C17="Projector",VLOOKUP(M17,Projector_Weapon_Damage_Table,2),VLOOKUP(M17,Large_Weapon_Damage_Table,2)))))</f>
        <v>10</v>
      </c>
      <c r="W17" s="5">
        <f>VLOOKUP(AA17+AB17,Standard_Accuracy_Table,2)</f>
        <v>5</v>
      </c>
      <c r="X17" s="5">
        <f>VLOOKUP(Y17,Standard_Range_Table,2)</f>
        <v>6</v>
      </c>
      <c r="Y17" s="5">
        <v>1300</v>
      </c>
      <c r="Z17" s="7">
        <f>$D17*$E17/$H17</f>
        <v>8.3333333333333329E-2</v>
      </c>
      <c r="AA17" s="5">
        <v>2</v>
      </c>
      <c r="AB17" s="10"/>
      <c r="AC17" s="3"/>
    </row>
    <row r="18" spans="1:29" s="2" customFormat="1" x14ac:dyDescent="0.25">
      <c r="A18" s="5" t="s">
        <v>39</v>
      </c>
      <c r="B18" s="5" t="s">
        <v>19</v>
      </c>
      <c r="C18" s="5" t="s">
        <v>72</v>
      </c>
      <c r="D18" s="5">
        <f>IF(LEFT($A18,4) = "Dual",2,IF(LEFT($A18,6) = "Triple",3,1))</f>
        <v>1</v>
      </c>
      <c r="E18" s="5">
        <v>1</v>
      </c>
      <c r="F18" s="6">
        <v>4</v>
      </c>
      <c r="G18" s="5">
        <v>12</v>
      </c>
      <c r="H18" s="7">
        <f>IF(Table12[[#This Row],[Barrels]]&gt;1,Table12[[#This Row],[Recharge]]*1.33333333,Table12[[#This Row],[Recharge]])</f>
        <v>12</v>
      </c>
      <c r="I18" s="5">
        <v>550</v>
      </c>
      <c r="J18" s="5">
        <v>550</v>
      </c>
      <c r="K18" s="5">
        <v>550</v>
      </c>
      <c r="L18" s="7">
        <f>I18*$E18/$H18</f>
        <v>45.833333333333336</v>
      </c>
      <c r="M18" s="11">
        <f>IF($H18&lt;&gt;0,$D18*$E18*$F18*J18/$H18,)</f>
        <v>183.33333333333334</v>
      </c>
      <c r="N18" s="13">
        <f>IF($B18 = "Ballistic", 1.25*$M18,$M18)</f>
        <v>183.33333333333334</v>
      </c>
      <c r="O18" s="13">
        <f>IF($B18 = "Ballistic", $N18*1.5,$N18)</f>
        <v>183.33333333333334</v>
      </c>
      <c r="P18" s="7">
        <f>IF($H18&lt;&gt;0,$D18*$E18*$F18*K18/$H18,)</f>
        <v>183.33333333333334</v>
      </c>
      <c r="Q18" s="9">
        <f>$D18*$J18*$F18</f>
        <v>2200</v>
      </c>
      <c r="R18" s="9">
        <f>$D18*$E18*$F18*$K18</f>
        <v>2200</v>
      </c>
      <c r="S18" s="5">
        <v>700</v>
      </c>
      <c r="T18" s="12">
        <v>500</v>
      </c>
      <c r="U18" s="5">
        <f>VLOOKUP(H18,Standard_F_Rates,2)</f>
        <v>3</v>
      </c>
      <c r="V18" s="5">
        <f>MAX(VLOOKUP(R18,Alt_Dmg_Table,2),IF(C18="Medium",VLOOKUP(M18,Medium_Weapon_Damage_Table,2),IF(C18="Small",VLOOKUP(M18,Small_Weapon_Damage_Table,2),IF(C18="Projector",VLOOKUP(M18,Projector_Weapon_Damage_Table,2),VLOOKUP(M18,Large_Weapon_Damage_Table,2)))))</f>
        <v>10</v>
      </c>
      <c r="W18" s="5">
        <f>VLOOKUP(AA18+AB18,Standard_Accuracy_Table,2)</f>
        <v>10</v>
      </c>
      <c r="X18" s="5">
        <f>VLOOKUP(Y18,Standard_Range_Table,2)</f>
        <v>6</v>
      </c>
      <c r="Y18" s="5">
        <v>1300</v>
      </c>
      <c r="Z18" s="7">
        <f>$D18*$E18/$H18</f>
        <v>8.3333333333333329E-2</v>
      </c>
      <c r="AA18" s="5">
        <v>0</v>
      </c>
      <c r="AB18" s="10"/>
      <c r="AC18" s="3"/>
    </row>
    <row r="19" spans="1:29" s="2" customFormat="1" x14ac:dyDescent="0.25">
      <c r="A19" s="5" t="s">
        <v>162</v>
      </c>
      <c r="B19" s="5" t="s">
        <v>16</v>
      </c>
      <c r="C19" s="5" t="s">
        <v>72</v>
      </c>
      <c r="D19" s="5">
        <f>IF(LEFT($A19,4) = "Dual",2,IF(LEFT($A19,6) = "Triple",3,1))</f>
        <v>3</v>
      </c>
      <c r="E19" s="5">
        <v>1</v>
      </c>
      <c r="F19" s="6">
        <v>1</v>
      </c>
      <c r="G19" s="5">
        <v>5</v>
      </c>
      <c r="H19" s="7">
        <f>IF(Table12[[#This Row],[Barrels]]&gt;1,Table12[[#This Row],[Recharge]]*1.33333333,Table12[[#This Row],[Recharge]])</f>
        <v>6.6666666500000007</v>
      </c>
      <c r="I19" s="5">
        <v>360</v>
      </c>
      <c r="J19" s="5">
        <v>360</v>
      </c>
      <c r="K19" s="5">
        <v>360</v>
      </c>
      <c r="L19" s="7">
        <f>I19*$E19/$H19</f>
        <v>54.000000134999993</v>
      </c>
      <c r="M19" s="11">
        <f>IF($H19&lt;&gt;0,$D19*$E19*$F19*J19/$H19,)</f>
        <v>162.00000040499998</v>
      </c>
      <c r="N19" s="13">
        <f>IF($B19 = "Ballistic", 1.25*$M19,$M19)</f>
        <v>202.50000050624999</v>
      </c>
      <c r="O19" s="13">
        <f>IF($B19 = "Ballistic", $N19*1.5,$N19)</f>
        <v>303.75000075937498</v>
      </c>
      <c r="P19" s="7">
        <f>IF($H19&lt;&gt;0,$D19*$E19*$F19*K19/$H19,)</f>
        <v>162.00000040499998</v>
      </c>
      <c r="Q19" s="9">
        <f>$D19*$J19*$F19</f>
        <v>1080</v>
      </c>
      <c r="R19" s="9">
        <f>$D19*$E19*$F19*$K19</f>
        <v>1080</v>
      </c>
      <c r="S19" s="5"/>
      <c r="T19" s="12">
        <v>480</v>
      </c>
      <c r="U19" s="5">
        <f>VLOOKUP(H19,Standard_F_Rates,2)</f>
        <v>6</v>
      </c>
      <c r="V19" s="5">
        <f>MAX(VLOOKUP(R19,Alt_Dmg_Table,2),IF(C19="Medium",VLOOKUP(M19,Medium_Weapon_Damage_Table,2),IF(C19="Small",VLOOKUP(M19,Small_Weapon_Damage_Table,2),IF(C19="Projector",VLOOKUP(M19,Projector_Weapon_Damage_Table,2),VLOOKUP(M19,Large_Weapon_Damage_Table,2)))))</f>
        <v>8</v>
      </c>
      <c r="W19" s="5">
        <f>VLOOKUP(AA19+AB19,Standard_Accuracy_Table,2)</f>
        <v>3</v>
      </c>
      <c r="X19" s="5">
        <f>VLOOKUP(Y19,Standard_Range_Table,2)</f>
        <v>8</v>
      </c>
      <c r="Y19" s="5">
        <v>2000</v>
      </c>
      <c r="Z19" s="7">
        <f>$D19*$E19/$H19</f>
        <v>0.45000000112499994</v>
      </c>
      <c r="AA19" s="5">
        <v>4</v>
      </c>
      <c r="AB19" s="10"/>
      <c r="AC19" s="3"/>
    </row>
    <row r="20" spans="1:29" s="2" customFormat="1" x14ac:dyDescent="0.25">
      <c r="A20" s="5" t="s">
        <v>20</v>
      </c>
      <c r="B20" s="5" t="s">
        <v>16</v>
      </c>
      <c r="C20" s="5" t="s">
        <v>72</v>
      </c>
      <c r="D20" s="5">
        <f>IF(LEFT($A20,4) = "Dual",2,IF(LEFT($A20,6) = "Triple",3,1))</f>
        <v>1</v>
      </c>
      <c r="E20" s="5">
        <v>1</v>
      </c>
      <c r="F20" s="6">
        <v>1</v>
      </c>
      <c r="G20" s="5">
        <v>5</v>
      </c>
      <c r="H20" s="7">
        <f>IF(Table12[[#This Row],[Barrels]]&gt;1,Table12[[#This Row],[Recharge]]*1.33333333,Table12[[#This Row],[Recharge]])</f>
        <v>5</v>
      </c>
      <c r="I20" s="5">
        <f>250+12/4*170</f>
        <v>760</v>
      </c>
      <c r="J20" s="5">
        <f>250+12/4*170</f>
        <v>760</v>
      </c>
      <c r="K20" s="5">
        <f>250+12/4*170</f>
        <v>760</v>
      </c>
      <c r="L20" s="7">
        <f>I20*$E20/$H20</f>
        <v>152</v>
      </c>
      <c r="M20" s="11">
        <f>IF($H20&lt;&gt;0,$D20*$E20*$F20*J20/$H20,)</f>
        <v>152</v>
      </c>
      <c r="N20" s="13">
        <f>IF($B20 = "Ballistic", 1.25*$M20,$M20)</f>
        <v>190</v>
      </c>
      <c r="O20" s="13">
        <f>IF($B20 = "Ballistic", $N20*1.5,$N20)</f>
        <v>285</v>
      </c>
      <c r="P20" s="7">
        <f>IF($H20&lt;&gt;0,$D20*$E20*$F20*K20/$H20,)</f>
        <v>152</v>
      </c>
      <c r="Q20" s="9">
        <f>$D20*$J20*$F20</f>
        <v>760</v>
      </c>
      <c r="R20" s="9">
        <f>$D20*$E20*$F20*$K20</f>
        <v>760</v>
      </c>
      <c r="S20" s="5">
        <v>300</v>
      </c>
      <c r="T20" s="12">
        <v>300</v>
      </c>
      <c r="U20" s="5">
        <f>VLOOKUP(H20,Standard_F_Rates,2)</f>
        <v>8</v>
      </c>
      <c r="V20" s="5">
        <f>MAX(VLOOKUP(R20,Alt_Dmg_Table,2),IF(C20="Medium",VLOOKUP(M20,Medium_Weapon_Damage_Table,2),IF(C20="Small",VLOOKUP(M20,Small_Weapon_Damage_Table,2),IF(C20="Projector",VLOOKUP(M20,Projector_Weapon_Damage_Table,2),VLOOKUP(M20,Large_Weapon_Damage_Table,2)))))</f>
        <v>7</v>
      </c>
      <c r="W20" s="5">
        <f>VLOOKUP(AA20+AB20,Standard_Accuracy_Table,2)</f>
        <v>1</v>
      </c>
      <c r="X20" s="5">
        <f>VLOOKUP(Y20,Standard_Range_Table,2)</f>
        <v>8</v>
      </c>
      <c r="Y20" s="5">
        <v>2000</v>
      </c>
      <c r="Z20" s="7">
        <f>$D20*$E20/$H20</f>
        <v>0.2</v>
      </c>
      <c r="AA20" s="10">
        <v>7.5</v>
      </c>
      <c r="AB20" s="10"/>
      <c r="AC20" s="3"/>
    </row>
    <row r="21" spans="1:29" s="2" customFormat="1" x14ac:dyDescent="0.25">
      <c r="A21" s="5" t="s">
        <v>212</v>
      </c>
      <c r="B21" s="5" t="s">
        <v>16</v>
      </c>
      <c r="C21" s="5" t="s">
        <v>65</v>
      </c>
      <c r="D21" s="5">
        <f>IF(LEFT($A21,4) = "Dual",2,IF(LEFT($A21,6) = "Triple",3,1))</f>
        <v>1</v>
      </c>
      <c r="E21" s="5">
        <v>1</v>
      </c>
      <c r="F21" s="6">
        <v>1</v>
      </c>
      <c r="G21" s="5">
        <v>5</v>
      </c>
      <c r="H21" s="7">
        <f>IF(Table12[[#This Row],[Barrels]]&gt;1,Table12[[#This Row],[Recharge]]*1.33333333,Table12[[#This Row],[Recharge]])</f>
        <v>5</v>
      </c>
      <c r="I21" s="5">
        <f>250+12/4*170</f>
        <v>760</v>
      </c>
      <c r="J21" s="5">
        <f>250+12/4*170</f>
        <v>760</v>
      </c>
      <c r="K21" s="5">
        <f>250+12/4*170</f>
        <v>760</v>
      </c>
      <c r="L21" s="7">
        <f>I21*$E21/$H21</f>
        <v>152</v>
      </c>
      <c r="M21" s="11">
        <f>IF($H21&lt;&gt;0,$D21*$E21*$F21*J21/$H21,)</f>
        <v>152</v>
      </c>
      <c r="N21" s="13">
        <f>IF($B21 = "Ballistic", 1.25*$M21,$M21)</f>
        <v>190</v>
      </c>
      <c r="O21" s="13">
        <f>IF($B21 = "Ballistic", $N21*1.5,$N21)</f>
        <v>285</v>
      </c>
      <c r="P21" s="7">
        <f>IF($H21&lt;&gt;0,$D21*$E21*$F21*K21/$H21,)</f>
        <v>152</v>
      </c>
      <c r="Q21" s="9">
        <f>$D21*$J21*$F21</f>
        <v>760</v>
      </c>
      <c r="R21" s="9">
        <f>$D21*$E21*$F21*$K21</f>
        <v>760</v>
      </c>
      <c r="S21" s="5">
        <v>300</v>
      </c>
      <c r="T21" s="12">
        <v>300</v>
      </c>
      <c r="U21" s="5">
        <f>VLOOKUP(H21,Standard_F_Rates,2)</f>
        <v>8</v>
      </c>
      <c r="V21" s="5">
        <f>MAX(VLOOKUP(R21,Alt_Dmg_Table,2),IF(C21="Medium",VLOOKUP(M21,Medium_Weapon_Damage_Table,2),IF(C21="Small",VLOOKUP(M21,Small_Weapon_Damage_Table,2),IF(C21="Projector",VLOOKUP(M21,Projector_Weapon_Damage_Table,2),VLOOKUP(M21,Large_Weapon_Damage_Table,2)))))</f>
        <v>7</v>
      </c>
      <c r="W21" s="5">
        <f>VLOOKUP(AA21+AB21,Standard_Accuracy_Table,2)</f>
        <v>1</v>
      </c>
      <c r="X21" s="5">
        <f>VLOOKUP(Y21,Standard_Range_Table,2)</f>
        <v>8</v>
      </c>
      <c r="Y21" s="5">
        <v>2000</v>
      </c>
      <c r="Z21" s="7">
        <f>$D21*$E21/$H21</f>
        <v>0.2</v>
      </c>
      <c r="AA21" s="10">
        <v>7.5</v>
      </c>
      <c r="AB21" s="10"/>
      <c r="AC21" s="3"/>
    </row>
    <row r="22" spans="1:29" s="2" customFormat="1" x14ac:dyDescent="0.25">
      <c r="A22" s="5" t="s">
        <v>43</v>
      </c>
      <c r="B22" s="5" t="s">
        <v>84</v>
      </c>
      <c r="C22" s="5" t="s">
        <v>72</v>
      </c>
      <c r="D22" s="5">
        <f>IF(LEFT($A22,4) = "Dual",2,IF(LEFT($A22,6) = "Triple",3,1))</f>
        <v>1</v>
      </c>
      <c r="E22" s="5">
        <v>3</v>
      </c>
      <c r="F22" s="6">
        <v>1</v>
      </c>
      <c r="G22" s="5">
        <v>7</v>
      </c>
      <c r="H22" s="7">
        <f>IF(Table12[[#This Row],[Barrels]]&gt;1,Table12[[#This Row],[Recharge]]*1.33333333,Table12[[#This Row],[Recharge]])</f>
        <v>7</v>
      </c>
      <c r="I22" s="5">
        <v>250</v>
      </c>
      <c r="J22" s="5">
        <v>350</v>
      </c>
      <c r="K22" s="5">
        <v>250</v>
      </c>
      <c r="L22" s="7">
        <f>I22*$E22/$H22</f>
        <v>107.14285714285714</v>
      </c>
      <c r="M22" s="11">
        <f>IF($H22&lt;&gt;0,$D22*$E22*$F22*J22/$H22,)</f>
        <v>150</v>
      </c>
      <c r="N22" s="13">
        <f>IF($B22 = "Ballistic", 1.25*$M22,$M22)</f>
        <v>150</v>
      </c>
      <c r="O22" s="13">
        <f>IF($B22 = "Ballistic", $N22*1.5,$N22)</f>
        <v>150</v>
      </c>
      <c r="P22" s="7">
        <f>IF($H22&lt;&gt;0,$D22*$E22*$F22*K22/$H22,)</f>
        <v>107.14285714285714</v>
      </c>
      <c r="Q22" s="9">
        <f>$D22*$J22*$F22</f>
        <v>350</v>
      </c>
      <c r="R22" s="9">
        <f>$D22*$E22*$F22*$K22</f>
        <v>750</v>
      </c>
      <c r="S22" s="5">
        <v>650</v>
      </c>
      <c r="T22" s="12">
        <v>300</v>
      </c>
      <c r="U22" s="5">
        <f>VLOOKUP(H22,Standard_F_Rates,2)</f>
        <v>6</v>
      </c>
      <c r="V22" s="5">
        <f>MAX(VLOOKUP(R22,Alt_Dmg_Table,2),IF(C22="Medium",VLOOKUP(M22,Medium_Weapon_Damage_Table,2),IF(C22="Small",VLOOKUP(M22,Small_Weapon_Damage_Table,2),IF(C22="Projector",VLOOKUP(M22,Projector_Weapon_Damage_Table,2),VLOOKUP(M22,Large_Weapon_Damage_Table,2)))))</f>
        <v>7</v>
      </c>
      <c r="W22" s="5">
        <f>VLOOKUP(AA22+AB22,Standard_Accuracy_Table,2)</f>
        <v>3</v>
      </c>
      <c r="X22" s="5">
        <f>VLOOKUP(Y22,Standard_Range_Table,2)</f>
        <v>9</v>
      </c>
      <c r="Y22" s="5">
        <v>2400</v>
      </c>
      <c r="Z22" s="7">
        <f>$D22*$E22/$H22</f>
        <v>0.42857142857142855</v>
      </c>
      <c r="AA22" s="5">
        <v>4</v>
      </c>
      <c r="AB22" s="10"/>
      <c r="AC22" s="3"/>
    </row>
    <row r="23" spans="1:29" s="2" customFormat="1" x14ac:dyDescent="0.25">
      <c r="A23" s="5" t="s">
        <v>208</v>
      </c>
      <c r="B23" s="5" t="s">
        <v>84</v>
      </c>
      <c r="C23" s="5" t="s">
        <v>65</v>
      </c>
      <c r="D23" s="5">
        <f>IF(LEFT($A23,4) = "Dual",2,IF(LEFT($A23,6) = "Triple",3,1))</f>
        <v>1</v>
      </c>
      <c r="E23" s="5">
        <v>3</v>
      </c>
      <c r="F23" s="6">
        <v>1</v>
      </c>
      <c r="G23" s="5">
        <v>7</v>
      </c>
      <c r="H23" s="7">
        <f>IF(Table12[[#This Row],[Barrels]]&gt;1,Table12[[#This Row],[Recharge]]*1.33333333,Table12[[#This Row],[Recharge]])</f>
        <v>7</v>
      </c>
      <c r="I23" s="5">
        <v>250</v>
      </c>
      <c r="J23" s="5">
        <v>350</v>
      </c>
      <c r="K23" s="5">
        <v>250</v>
      </c>
      <c r="L23" s="7">
        <f>I23*$E23/$H23</f>
        <v>107.14285714285714</v>
      </c>
      <c r="M23" s="11">
        <f>IF($H23&lt;&gt;0,$D23*$E23*$F23*J23/$H23,)</f>
        <v>150</v>
      </c>
      <c r="N23" s="13">
        <f>IF($B23 = "Ballistic", 1.25*$M23,$M23)</f>
        <v>150</v>
      </c>
      <c r="O23" s="13">
        <f>IF($B23 = "Ballistic", $N23*1.5,$N23)</f>
        <v>150</v>
      </c>
      <c r="P23" s="7">
        <f>IF($H23&lt;&gt;0,$D23*$E23*$F23*K23/$H23,)</f>
        <v>107.14285714285714</v>
      </c>
      <c r="Q23" s="9">
        <f>$D23*$J23*$F23</f>
        <v>350</v>
      </c>
      <c r="R23" s="9">
        <f>$D23*$E23*$F23*$K23</f>
        <v>750</v>
      </c>
      <c r="S23" s="5"/>
      <c r="T23" s="12">
        <v>300</v>
      </c>
      <c r="U23" s="5">
        <f>VLOOKUP(H23,Standard_F_Rates,2)</f>
        <v>6</v>
      </c>
      <c r="V23" s="5">
        <f>MAX(VLOOKUP(R23,Alt_Dmg_Table,2),IF(C23="Medium",VLOOKUP(M23,Medium_Weapon_Damage_Table,2),IF(C23="Small",VLOOKUP(M23,Small_Weapon_Damage_Table,2),IF(C23="Projector",VLOOKUP(M23,Projector_Weapon_Damage_Table,2),VLOOKUP(M23,Large_Weapon_Damage_Table,2)))))</f>
        <v>7</v>
      </c>
      <c r="W23" s="5">
        <f>VLOOKUP(AA23+AB23,Standard_Accuracy_Table,2)</f>
        <v>3</v>
      </c>
      <c r="X23" s="5">
        <f>VLOOKUP(Y23,Standard_Range_Table,2)</f>
        <v>9</v>
      </c>
      <c r="Y23" s="5">
        <v>2400</v>
      </c>
      <c r="Z23" s="7">
        <f>$D23*$E23/$H23</f>
        <v>0.42857142857142855</v>
      </c>
      <c r="AA23" s="5">
        <v>4</v>
      </c>
      <c r="AB23" s="10"/>
      <c r="AC23" s="3"/>
    </row>
    <row r="24" spans="1:29" s="2" customFormat="1" x14ac:dyDescent="0.25">
      <c r="A24" s="5" t="s">
        <v>134</v>
      </c>
      <c r="B24" s="5" t="s">
        <v>19</v>
      </c>
      <c r="C24" s="5" t="s">
        <v>72</v>
      </c>
      <c r="D24" s="5">
        <f>IF(LEFT($A24,4) = "Dual",2,IF(LEFT($A24,6) = "Triple",3,1))</f>
        <v>1</v>
      </c>
      <c r="E24" s="5">
        <v>1</v>
      </c>
      <c r="F24" s="6">
        <v>4</v>
      </c>
      <c r="G24" s="5">
        <v>10</v>
      </c>
      <c r="H24" s="7">
        <f>IF(Table12[[#This Row],[Barrels]]&gt;1,Table12[[#This Row],[Recharge]]*1.33333333,Table12[[#This Row],[Recharge]])</f>
        <v>10</v>
      </c>
      <c r="I24" s="5">
        <v>350</v>
      </c>
      <c r="J24" s="5">
        <v>350</v>
      </c>
      <c r="K24" s="5">
        <v>350</v>
      </c>
      <c r="L24" s="7">
        <f>I24*$E24/$H24</f>
        <v>35</v>
      </c>
      <c r="M24" s="11">
        <f>IF($H24&lt;&gt;0,$D24*$E24*$F24*J24/$H24,)</f>
        <v>140</v>
      </c>
      <c r="N24" s="13">
        <f>IF($B24 = "Ballistic", 1.25*$M24,$M24)</f>
        <v>140</v>
      </c>
      <c r="O24" s="13">
        <f>IF($B24 = "Ballistic", $N24*1.5,$N24)</f>
        <v>140</v>
      </c>
      <c r="P24" s="7">
        <f>IF($H24&lt;&gt;0,$D24*$E24*$F24*K24/$H24,)</f>
        <v>140</v>
      </c>
      <c r="Q24" s="9">
        <f>$D24*$J24*$F24</f>
        <v>1400</v>
      </c>
      <c r="R24" s="9">
        <f>$D24*$E24*$F24*$K24</f>
        <v>1400</v>
      </c>
      <c r="S24" s="5">
        <v>600</v>
      </c>
      <c r="T24" s="12">
        <v>300</v>
      </c>
      <c r="U24" s="5">
        <f>VLOOKUP(H24,Standard_F_Rates,2)</f>
        <v>4</v>
      </c>
      <c r="V24" s="5">
        <f>MAX(VLOOKUP(R24,Alt_Dmg_Table,2),IF(C24="Medium",VLOOKUP(M24,Medium_Weapon_Damage_Table,2),IF(C24="Small",VLOOKUP(M24,Small_Weapon_Damage_Table,2),IF(C24="Projector",VLOOKUP(M24,Projector_Weapon_Damage_Table,2),VLOOKUP(M24,Large_Weapon_Damage_Table,2)))))</f>
        <v>8</v>
      </c>
      <c r="W24" s="5">
        <f>VLOOKUP(AA24+AB24,Standard_Accuracy_Table,2)</f>
        <v>10</v>
      </c>
      <c r="X24" s="5">
        <f>VLOOKUP(Y24,Standard_Range_Table,2)</f>
        <v>4</v>
      </c>
      <c r="Y24" s="5">
        <v>1000</v>
      </c>
      <c r="Z24" s="7">
        <f>$D24*$E24/$H24</f>
        <v>0.1</v>
      </c>
      <c r="AA24" s="5">
        <v>0</v>
      </c>
      <c r="AB24" s="5"/>
      <c r="AC24" s="3"/>
    </row>
    <row r="25" spans="1:29" s="2" customFormat="1" x14ac:dyDescent="0.25">
      <c r="A25" s="5" t="s">
        <v>135</v>
      </c>
      <c r="B25" s="5" t="s">
        <v>19</v>
      </c>
      <c r="C25" s="5" t="s">
        <v>65</v>
      </c>
      <c r="D25" s="5">
        <f>IF(LEFT($A25,4) = "Dual",2,IF(LEFT($A25,6) = "Triple",3,1))</f>
        <v>1</v>
      </c>
      <c r="E25" s="5">
        <v>1</v>
      </c>
      <c r="F25" s="6">
        <v>4</v>
      </c>
      <c r="G25" s="5">
        <v>10</v>
      </c>
      <c r="H25" s="7">
        <f>IF(Table12[[#This Row],[Barrels]]&gt;1,Table12[[#This Row],[Recharge]]*1.33333333,Table12[[#This Row],[Recharge]])</f>
        <v>10</v>
      </c>
      <c r="I25" s="5">
        <v>350</v>
      </c>
      <c r="J25" s="5">
        <v>350</v>
      </c>
      <c r="K25" s="5">
        <v>350</v>
      </c>
      <c r="L25" s="7">
        <f>I25*$E25/$H25</f>
        <v>35</v>
      </c>
      <c r="M25" s="11">
        <f>IF($H25&lt;&gt;0,$D25*$E25*$F25*J25/$H25,)</f>
        <v>140</v>
      </c>
      <c r="N25" s="13">
        <f>IF($B25 = "Ballistic", 1.25*$M25,$M25)</f>
        <v>140</v>
      </c>
      <c r="O25" s="13">
        <f>IF($B25 = "Ballistic", $N25*1.5,$N25)</f>
        <v>140</v>
      </c>
      <c r="P25" s="7">
        <f>IF($H25&lt;&gt;0,$D25*$E25*$F25*K25/$H25,)</f>
        <v>140</v>
      </c>
      <c r="Q25" s="9">
        <f>$D25*$J25*$F25</f>
        <v>1400</v>
      </c>
      <c r="R25" s="9">
        <f>$D25*$E25*$F25*$K25</f>
        <v>1400</v>
      </c>
      <c r="S25" s="5"/>
      <c r="T25" s="12">
        <v>300</v>
      </c>
      <c r="U25" s="5">
        <f>VLOOKUP(H25,Standard_F_Rates,2)</f>
        <v>4</v>
      </c>
      <c r="V25" s="5">
        <f>MAX(VLOOKUP(R25,Alt_Dmg_Table,2),IF(C25="Medium",VLOOKUP(M25,Medium_Weapon_Damage_Table,2),IF(C25="Small",VLOOKUP(M25,Small_Weapon_Damage_Table,2),IF(C25="Projector",VLOOKUP(M25,Projector_Weapon_Damage_Table,2),VLOOKUP(M25,Large_Weapon_Damage_Table,2)))))</f>
        <v>8</v>
      </c>
      <c r="W25" s="5">
        <f>VLOOKUP(AA25+AB25,Standard_Accuracy_Table,2)</f>
        <v>5</v>
      </c>
      <c r="X25" s="5">
        <f>VLOOKUP(Y25,Standard_Range_Table,2)</f>
        <v>4</v>
      </c>
      <c r="Y25" s="5">
        <v>1000</v>
      </c>
      <c r="Z25" s="7">
        <f>$D25*$E25/$H25</f>
        <v>0.1</v>
      </c>
      <c r="AA25" s="5">
        <v>2</v>
      </c>
      <c r="AB25" s="10"/>
    </row>
    <row r="26" spans="1:29" s="2" customFormat="1" x14ac:dyDescent="0.25">
      <c r="A26" s="5" t="s">
        <v>157</v>
      </c>
      <c r="B26" s="5" t="s">
        <v>16</v>
      </c>
      <c r="C26" s="5" t="s">
        <v>72</v>
      </c>
      <c r="D26" s="5">
        <f>IF(LEFT($A26,4) = "Dual",2,IF(LEFT($A26,6) = "Triple",3,1))</f>
        <v>2</v>
      </c>
      <c r="E26" s="5">
        <v>1</v>
      </c>
      <c r="F26" s="6">
        <v>1</v>
      </c>
      <c r="G26" s="5">
        <v>5</v>
      </c>
      <c r="H26" s="7">
        <f>IF(Table12[[#This Row],[Barrels]]&gt;1,Table12[[#This Row],[Recharge]]*1.33333333,Table12[[#This Row],[Recharge]])</f>
        <v>6.6666666500000007</v>
      </c>
      <c r="I26" s="5">
        <v>450</v>
      </c>
      <c r="J26" s="5">
        <v>450</v>
      </c>
      <c r="K26" s="5">
        <v>450</v>
      </c>
      <c r="L26" s="7">
        <f>I26*$E26/$H26</f>
        <v>67.500000168749992</v>
      </c>
      <c r="M26" s="11">
        <f>IF($H26&lt;&gt;0,$D26*$E26*$F26*J26/$H26,)</f>
        <v>135.00000033749998</v>
      </c>
      <c r="N26" s="13">
        <f>IF($B26 = "Ballistic", 1.25*$M26,$M26)</f>
        <v>168.75000042187497</v>
      </c>
      <c r="O26" s="13">
        <f>IF($B26 = "Ballistic", $N26*1.5,$N26)</f>
        <v>253.12500063281246</v>
      </c>
      <c r="P26" s="7">
        <f>IF($H26&lt;&gt;0,$D26*$E26*$F26*K26/$H26,)</f>
        <v>135.00000033749998</v>
      </c>
      <c r="Q26" s="9">
        <f>$D26*$J26*$F26</f>
        <v>900</v>
      </c>
      <c r="R26" s="9">
        <f>$D26*$E26*$F26*$K26</f>
        <v>900</v>
      </c>
      <c r="S26" s="5"/>
      <c r="T26" s="12">
        <v>300</v>
      </c>
      <c r="U26" s="5">
        <f>VLOOKUP(H26,Standard_F_Rates,2)</f>
        <v>6</v>
      </c>
      <c r="V26" s="5">
        <f>MAX(VLOOKUP(R26,Alt_Dmg_Table,2),IF(C26="Medium",VLOOKUP(M26,Medium_Weapon_Damage_Table,2),IF(C26="Small",VLOOKUP(M26,Small_Weapon_Damage_Table,2),IF(C26="Projector",VLOOKUP(M26,Projector_Weapon_Damage_Table,2),VLOOKUP(M26,Large_Weapon_Damage_Table,2)))))</f>
        <v>6</v>
      </c>
      <c r="W26" s="5">
        <f>VLOOKUP(AA26+AB26,Standard_Accuracy_Table,2)</f>
        <v>3</v>
      </c>
      <c r="X26" s="5">
        <f>VLOOKUP(Y26,Standard_Range_Table,2)</f>
        <v>8</v>
      </c>
      <c r="Y26" s="5">
        <v>2000</v>
      </c>
      <c r="Z26" s="7">
        <f>$D26*$E26/$H26</f>
        <v>0.30000000075</v>
      </c>
      <c r="AA26" s="5">
        <v>4</v>
      </c>
      <c r="AB26" s="10"/>
    </row>
    <row r="27" spans="1:29" s="2" customFormat="1" x14ac:dyDescent="0.25">
      <c r="A27" s="5" t="s">
        <v>156</v>
      </c>
      <c r="B27" s="5" t="s">
        <v>163</v>
      </c>
      <c r="C27" s="5" t="s">
        <v>72</v>
      </c>
      <c r="D27" s="5">
        <f>IF(LEFT($A27,4) = "Dual",2,IF(LEFT($A27,6) = "Triple",3,1))</f>
        <v>2</v>
      </c>
      <c r="E27" s="5">
        <v>1</v>
      </c>
      <c r="F27" s="6">
        <v>1</v>
      </c>
      <c r="G27" s="5">
        <v>1</v>
      </c>
      <c r="H27" s="7">
        <f>IF(Table12[[#This Row],[Barrels]]&gt;1,Table12[[#This Row],[Recharge]]*1.33333333,Table12[[#This Row],[Recharge]])</f>
        <v>1.3333333300000001</v>
      </c>
      <c r="I27" s="5">
        <v>90</v>
      </c>
      <c r="J27" s="5">
        <v>90</v>
      </c>
      <c r="K27" s="5">
        <v>90</v>
      </c>
      <c r="L27" s="7">
        <f>I27*$E27/$H27</f>
        <v>67.500000168749992</v>
      </c>
      <c r="M27" s="11">
        <f>IF($H27&lt;&gt;0,$D27*$E27*$F27*J27/$H27,)</f>
        <v>135.00000033749998</v>
      </c>
      <c r="N27" s="13">
        <f>IF($B27 = "Ballistic", 1.25*$M27,$M27)</f>
        <v>135.00000033749998</v>
      </c>
      <c r="O27" s="13">
        <f>IF($B27 = "Ballistic", $N27*1.5,$N27)</f>
        <v>135.00000033749998</v>
      </c>
      <c r="P27" s="7">
        <f>IF($H27&lt;&gt;0,$D27*$E27*$F27*K27/$H27,)</f>
        <v>135.00000033749998</v>
      </c>
      <c r="Q27" s="9">
        <f>$D27*$J27*$F27</f>
        <v>180</v>
      </c>
      <c r="R27" s="9">
        <f>$D27*$E27*$F27*$K27</f>
        <v>180</v>
      </c>
      <c r="S27" s="5"/>
      <c r="T27" s="12">
        <v>360</v>
      </c>
      <c r="U27" s="5">
        <f>VLOOKUP(H27,Standard_F_Rates,2)</f>
        <v>9</v>
      </c>
      <c r="V27" s="5">
        <f>MAX(VLOOKUP(R27,Alt_Dmg_Table,2),IF(C27="Medium",VLOOKUP(M27,Medium_Weapon_Damage_Table,2),IF(C27="Small",VLOOKUP(M27,Small_Weapon_Damage_Table,2),IF(C27="Projector",VLOOKUP(M27,Projector_Weapon_Damage_Table,2),VLOOKUP(M27,Large_Weapon_Damage_Table,2)))))</f>
        <v>6</v>
      </c>
      <c r="W27" s="5">
        <f>VLOOKUP(AA27+AB27,Standard_Accuracy_Table,2)</f>
        <v>7</v>
      </c>
      <c r="X27" s="5">
        <f>VLOOKUP(Y27,Standard_Range_Table,2)</f>
        <v>4</v>
      </c>
      <c r="Y27" s="5">
        <v>1000</v>
      </c>
      <c r="Z27" s="7">
        <f>$D27*$E27/$H27</f>
        <v>1.5000000037499999</v>
      </c>
      <c r="AA27" s="5">
        <v>1</v>
      </c>
      <c r="AB27" s="10"/>
      <c r="AC27" s="3"/>
    </row>
    <row r="28" spans="1:29" s="2" customFormat="1" x14ac:dyDescent="0.25">
      <c r="A28" s="5" t="s">
        <v>161</v>
      </c>
      <c r="B28" s="5" t="s">
        <v>16</v>
      </c>
      <c r="C28" s="5" t="s">
        <v>72</v>
      </c>
      <c r="D28" s="5">
        <f>IF(LEFT($A28,4) = "Dual",2,IF(LEFT($A28,6) = "Triple",3,1))</f>
        <v>3</v>
      </c>
      <c r="E28" s="5">
        <v>1</v>
      </c>
      <c r="F28" s="6">
        <v>1</v>
      </c>
      <c r="G28" s="5">
        <v>8</v>
      </c>
      <c r="H28" s="7">
        <f>IF(Table12[[#This Row],[Barrels]]&gt;1,Table12[[#This Row],[Recharge]]*1.33333333,Table12[[#This Row],[Recharge]])</f>
        <v>10.666666640000001</v>
      </c>
      <c r="I28" s="5">
        <v>450</v>
      </c>
      <c r="J28" s="5">
        <v>450</v>
      </c>
      <c r="K28" s="5">
        <v>450</v>
      </c>
      <c r="L28" s="7">
        <f>I28*$E28/$H28</f>
        <v>42.18750010546875</v>
      </c>
      <c r="M28" s="11">
        <f>IF($H28&lt;&gt;0,$D28*$E28*$F28*J28/$H28,)</f>
        <v>126.56250031640624</v>
      </c>
      <c r="N28" s="13">
        <f>IF($B28 = "Ballistic", 1.25*$M28,$M28)</f>
        <v>158.20312539550781</v>
      </c>
      <c r="O28" s="13">
        <f>IF($B28 = "Ballistic", $N28*1.5,$N28)</f>
        <v>237.30468809326172</v>
      </c>
      <c r="P28" s="7">
        <f>IF($H28&lt;&gt;0,$D28*$E28*$F28*K28/$H28,)</f>
        <v>126.56250031640624</v>
      </c>
      <c r="Q28" s="9">
        <f>$D28*$J28*$F28</f>
        <v>1350</v>
      </c>
      <c r="R28" s="9">
        <f>$D28*$E28*$F28*$K28</f>
        <v>1350</v>
      </c>
      <c r="S28" s="5"/>
      <c r="T28" s="12">
        <v>480</v>
      </c>
      <c r="U28" s="5">
        <f>VLOOKUP(H28,Standard_F_Rates,2)</f>
        <v>3</v>
      </c>
      <c r="V28" s="5">
        <f>MAX(VLOOKUP(R28,Alt_Dmg_Table,2),IF(C28="Medium",VLOOKUP(M28,Medium_Weapon_Damage_Table,2),IF(C28="Small",VLOOKUP(M28,Small_Weapon_Damage_Table,2),IF(C28="Projector",VLOOKUP(M28,Projector_Weapon_Damage_Table,2),VLOOKUP(M28,Large_Weapon_Damage_Table,2)))))</f>
        <v>8</v>
      </c>
      <c r="W28" s="5">
        <f>VLOOKUP(AA28+AB28,Standard_Accuracy_Table,2)</f>
        <v>7</v>
      </c>
      <c r="X28" s="5">
        <f>VLOOKUP(Y28,Standard_Range_Table,2)</f>
        <v>10</v>
      </c>
      <c r="Y28" s="5">
        <v>3000</v>
      </c>
      <c r="Z28" s="7">
        <f>$D28*$E28/$H28</f>
        <v>0.281250000703125</v>
      </c>
      <c r="AA28" s="5">
        <v>1</v>
      </c>
      <c r="AB28" s="10"/>
      <c r="AC28" s="3"/>
    </row>
    <row r="29" spans="1:29" s="2" customFormat="1" x14ac:dyDescent="0.25">
      <c r="A29" s="5" t="s">
        <v>106</v>
      </c>
      <c r="B29" s="5" t="s">
        <v>84</v>
      </c>
      <c r="C29" s="5" t="s">
        <v>72</v>
      </c>
      <c r="D29" s="5">
        <f>IF(LEFT($A29,4) = "Dual",2,IF(LEFT($A29,6) = "Triple",3,1))</f>
        <v>1</v>
      </c>
      <c r="E29" s="5">
        <v>3</v>
      </c>
      <c r="F29" s="6">
        <v>1</v>
      </c>
      <c r="G29" s="5">
        <v>7</v>
      </c>
      <c r="H29" s="7">
        <f>IF(Table12[[#This Row],[Barrels]]&gt;1,Table12[[#This Row],[Recharge]]*1.33333333,Table12[[#This Row],[Recharge]])</f>
        <v>7</v>
      </c>
      <c r="I29" s="5">
        <v>200</v>
      </c>
      <c r="J29" s="5">
        <v>280</v>
      </c>
      <c r="K29" s="5">
        <v>200</v>
      </c>
      <c r="L29" s="7">
        <f>I29*$E29/$H29</f>
        <v>85.714285714285708</v>
      </c>
      <c r="M29" s="11">
        <f>IF($H29&lt;&gt;0,$D29*$E29*$F29*J29/$H29,)</f>
        <v>120</v>
      </c>
      <c r="N29" s="13">
        <f>IF($B29 = "Ballistic", 1.25*$M29,$M29)</f>
        <v>120</v>
      </c>
      <c r="O29" s="13">
        <f>IF($B29 = "Ballistic", $N29*1.5,$N29)</f>
        <v>120</v>
      </c>
      <c r="P29" s="7">
        <f>IF($H29&lt;&gt;0,$D29*$E29*$F29*K29/$H29,)</f>
        <v>85.714285714285708</v>
      </c>
      <c r="Q29" s="9">
        <f>$D29*$J29*$F29</f>
        <v>280</v>
      </c>
      <c r="R29" s="9">
        <f>$D29*$E29*$F29*$K29</f>
        <v>600</v>
      </c>
      <c r="S29" s="5"/>
      <c r="T29" s="12">
        <v>300</v>
      </c>
      <c r="U29" s="5">
        <f>VLOOKUP(H29,Standard_F_Rates,2)</f>
        <v>6</v>
      </c>
      <c r="V29" s="5">
        <f>MAX(VLOOKUP(R29,Alt_Dmg_Table,2),IF(C29="Medium",VLOOKUP(M29,Medium_Weapon_Damage_Table,2),IF(C29="Small",VLOOKUP(M29,Small_Weapon_Damage_Table,2),IF(C29="Projector",VLOOKUP(M29,Projector_Weapon_Damage_Table,2),VLOOKUP(M29,Large_Weapon_Damage_Table,2)))))</f>
        <v>6</v>
      </c>
      <c r="W29" s="5">
        <f>VLOOKUP(AA29+AB29,Standard_Accuracy_Table,2)</f>
        <v>4</v>
      </c>
      <c r="X29" s="5">
        <f>VLOOKUP(Y29,Standard_Range_Table,2)</f>
        <v>9</v>
      </c>
      <c r="Y29" s="5">
        <v>2400</v>
      </c>
      <c r="Z29" s="7">
        <f>$D29*$E29/$H29</f>
        <v>0.42857142857142855</v>
      </c>
      <c r="AA29" s="5">
        <v>3</v>
      </c>
      <c r="AB29" s="10"/>
      <c r="AC29" s="3"/>
    </row>
    <row r="30" spans="1:29" s="2" customFormat="1" x14ac:dyDescent="0.25">
      <c r="A30" s="5" t="s">
        <v>35</v>
      </c>
      <c r="B30" s="5" t="s">
        <v>19</v>
      </c>
      <c r="C30" s="5" t="s">
        <v>72</v>
      </c>
      <c r="D30" s="5">
        <f>IF(LEFT($A30,4) = "Dual",2,IF(LEFT($A30,6) = "Triple",3,1))</f>
        <v>1</v>
      </c>
      <c r="E30" s="5">
        <v>1</v>
      </c>
      <c r="F30" s="6">
        <v>2</v>
      </c>
      <c r="G30" s="5">
        <v>10</v>
      </c>
      <c r="H30" s="7">
        <f>IF(Table12[[#This Row],[Barrels]]&gt;1,Table12[[#This Row],[Recharge]]*1.33333333,Table12[[#This Row],[Recharge]])</f>
        <v>10</v>
      </c>
      <c r="I30" s="5">
        <v>550</v>
      </c>
      <c r="J30" s="5">
        <v>550</v>
      </c>
      <c r="K30" s="5">
        <v>550</v>
      </c>
      <c r="L30" s="7">
        <f>I30*$E30/$H30</f>
        <v>55</v>
      </c>
      <c r="M30" s="11">
        <f>IF($H30&lt;&gt;0,$D30*$E30*$F30*J30/$H30,)</f>
        <v>110</v>
      </c>
      <c r="N30" s="13">
        <f>IF($B30 = "Ballistic", 1.25*$M30,$M30)</f>
        <v>110</v>
      </c>
      <c r="O30" s="13">
        <f>IF($B30 = "Ballistic", $N30*1.5,$N30)</f>
        <v>110</v>
      </c>
      <c r="P30" s="7">
        <f>IF($H30&lt;&gt;0,$D30*$E30*$F30*K30/$H30,)</f>
        <v>110</v>
      </c>
      <c r="Q30" s="9">
        <f>$D30*$J30*$F30</f>
        <v>1100</v>
      </c>
      <c r="R30" s="9">
        <f>$D30*$E30*$F30*$K30</f>
        <v>1100</v>
      </c>
      <c r="S30" s="5">
        <v>700</v>
      </c>
      <c r="T30" s="12">
        <v>300</v>
      </c>
      <c r="U30" s="5">
        <f>VLOOKUP(H30,Standard_F_Rates,2)</f>
        <v>4</v>
      </c>
      <c r="V30" s="5">
        <f>MAX(VLOOKUP(R30,Alt_Dmg_Table,2),IF(C30="Medium",VLOOKUP(M30,Medium_Weapon_Damage_Table,2),IF(C30="Small",VLOOKUP(M30,Small_Weapon_Damage_Table,2),IF(C30="Projector",VLOOKUP(M30,Projector_Weapon_Damage_Table,2),VLOOKUP(M30,Large_Weapon_Damage_Table,2)))))</f>
        <v>7</v>
      </c>
      <c r="W30" s="5">
        <f>VLOOKUP(AA30+AB30,Standard_Accuracy_Table,2)</f>
        <v>10</v>
      </c>
      <c r="X30" s="5">
        <f>VLOOKUP(Y30,Standard_Range_Table,2)</f>
        <v>7</v>
      </c>
      <c r="Y30" s="5">
        <v>1750</v>
      </c>
      <c r="Z30" s="7">
        <f>$D30*$E30/$H30</f>
        <v>0.1</v>
      </c>
      <c r="AA30" s="5">
        <v>0</v>
      </c>
      <c r="AB30" s="10"/>
      <c r="AC30" s="3"/>
    </row>
    <row r="31" spans="1:29" s="2" customFormat="1" x14ac:dyDescent="0.25">
      <c r="A31" s="5" t="s">
        <v>78</v>
      </c>
      <c r="B31" s="5" t="s">
        <v>19</v>
      </c>
      <c r="C31" s="5" t="s">
        <v>65</v>
      </c>
      <c r="D31" s="5">
        <f>IF(LEFT($A31,4) = "Dual",2,IF(LEFT($A31,6) = "Triple",3,1))</f>
        <v>1</v>
      </c>
      <c r="E31" s="5">
        <v>1</v>
      </c>
      <c r="F31" s="6">
        <v>2</v>
      </c>
      <c r="G31" s="5">
        <v>10</v>
      </c>
      <c r="H31" s="7">
        <f>IF(Table12[[#This Row],[Barrels]]&gt;1,Table12[[#This Row],[Recharge]]*1.33333333,Table12[[#This Row],[Recharge]])</f>
        <v>10</v>
      </c>
      <c r="I31" s="5">
        <v>550</v>
      </c>
      <c r="J31" s="5">
        <v>550</v>
      </c>
      <c r="K31" s="5">
        <v>550</v>
      </c>
      <c r="L31" s="7">
        <f>I31*$E31/$H31</f>
        <v>55</v>
      </c>
      <c r="M31" s="11">
        <f>IF($H31&lt;&gt;0,$D31*$E31*$F31*J31/$H31,)</f>
        <v>110</v>
      </c>
      <c r="N31" s="13">
        <f>IF($B31 = "Ballistic", 1.25*$M31,$M31)</f>
        <v>110</v>
      </c>
      <c r="O31" s="13">
        <f>IF($B31 = "Ballistic", $N31*1.5,$N31)</f>
        <v>110</v>
      </c>
      <c r="P31" s="7">
        <f>IF($H31&lt;&gt;0,$D31*$E31*$F31*K31/$H31,)</f>
        <v>110</v>
      </c>
      <c r="Q31" s="9">
        <f>$D31*$J31*$F31</f>
        <v>1100</v>
      </c>
      <c r="R31" s="9">
        <f>$D31*$E31*$F31*$K31</f>
        <v>1100</v>
      </c>
      <c r="S31" s="5"/>
      <c r="T31" s="12">
        <v>300</v>
      </c>
      <c r="U31" s="5">
        <f>VLOOKUP(H31,Standard_F_Rates,2)</f>
        <v>4</v>
      </c>
      <c r="V31" s="5">
        <f>MAX(VLOOKUP(R31,Alt_Dmg_Table,2),IF(C31="Medium",VLOOKUP(M31,Medium_Weapon_Damage_Table,2),IF(C31="Small",VLOOKUP(M31,Small_Weapon_Damage_Table,2),IF(C31="Projector",VLOOKUP(M31,Projector_Weapon_Damage_Table,2),VLOOKUP(M31,Large_Weapon_Damage_Table,2)))))</f>
        <v>7</v>
      </c>
      <c r="W31" s="5">
        <f>VLOOKUP(AA31+AB31,Standard_Accuracy_Table,2)</f>
        <v>5</v>
      </c>
      <c r="X31" s="5">
        <f>VLOOKUP(Y31,Standard_Range_Table,2)</f>
        <v>7</v>
      </c>
      <c r="Y31" s="5">
        <v>1750</v>
      </c>
      <c r="Z31" s="7">
        <f>$D31*$E31/$H31</f>
        <v>0.1</v>
      </c>
      <c r="AA31" s="5">
        <v>2</v>
      </c>
      <c r="AB31" s="10"/>
      <c r="AC31" s="3"/>
    </row>
    <row r="32" spans="1:29" s="2" customFormat="1" x14ac:dyDescent="0.25">
      <c r="A32" s="5" t="s">
        <v>6</v>
      </c>
      <c r="B32" s="5" t="s">
        <v>8</v>
      </c>
      <c r="C32" s="5" t="s">
        <v>72</v>
      </c>
      <c r="D32" s="5">
        <f>IF(LEFT($A32,4) = "Dual",2,IF(LEFT($A32,6) = "Triple",3,1))</f>
        <v>1</v>
      </c>
      <c r="E32" s="5">
        <v>10</v>
      </c>
      <c r="F32" s="6">
        <v>1</v>
      </c>
      <c r="G32" s="5">
        <v>12</v>
      </c>
      <c r="H32" s="7">
        <f>IF(Table12[[#This Row],[Barrels]]&gt;1,Table12[[#This Row],[Recharge]]*1.33333333,Table12[[#This Row],[Recharge]])</f>
        <v>12</v>
      </c>
      <c r="I32" s="5">
        <v>130</v>
      </c>
      <c r="J32" s="5">
        <v>130</v>
      </c>
      <c r="K32" s="5">
        <v>130</v>
      </c>
      <c r="L32" s="7">
        <f>I32*$E32/$H32</f>
        <v>108.33333333333333</v>
      </c>
      <c r="M32" s="11">
        <f>IF($H32&lt;&gt;0,$D32*$E32*$F32*J32/$H32,)</f>
        <v>108.33333333333333</v>
      </c>
      <c r="N32" s="13">
        <f>IF($B32 = "Ballistic", 1.25*$M32,$M32)</f>
        <v>108.33333333333333</v>
      </c>
      <c r="O32" s="13">
        <f>IF($B32 = "Ballistic", $N32*1.5,$N32)</f>
        <v>108.33333333333333</v>
      </c>
      <c r="P32" s="7">
        <f>IF($H32&lt;&gt;0,$D32*$E32*$F32*K32/$H32,)</f>
        <v>108.33333333333333</v>
      </c>
      <c r="Q32" s="9">
        <f>$D32*$J32*$F32</f>
        <v>130</v>
      </c>
      <c r="R32" s="9">
        <f>$D32*$E32*$F32*$K32</f>
        <v>1300</v>
      </c>
      <c r="S32" s="5">
        <v>385</v>
      </c>
      <c r="T32" s="12">
        <v>300</v>
      </c>
      <c r="U32" s="5">
        <f>VLOOKUP(H32,Standard_F_Rates,2)</f>
        <v>3</v>
      </c>
      <c r="V32" s="5">
        <f>MAX(VLOOKUP(R32,Alt_Dmg_Table,2),IF(C32="Medium",VLOOKUP(M32,Medium_Weapon_Damage_Table,2),IF(C32="Small",VLOOKUP(M32,Small_Weapon_Damage_Table,2),IF(C32="Projector",VLOOKUP(M32,Projector_Weapon_Damage_Table,2),VLOOKUP(M32,Large_Weapon_Damage_Table,2)))))</f>
        <v>8</v>
      </c>
      <c r="W32" s="5">
        <f>VLOOKUP(AA32+AB32,Standard_Accuracy_Table,2)</f>
        <v>2</v>
      </c>
      <c r="X32" s="5">
        <f>VLOOKUP(Y32,Standard_Range_Table,2)</f>
        <v>6</v>
      </c>
      <c r="Y32" s="5">
        <v>1300</v>
      </c>
      <c r="Z32" s="7">
        <f>$D32*$E32/$H32</f>
        <v>0.83333333333333337</v>
      </c>
      <c r="AA32" s="5">
        <v>5</v>
      </c>
      <c r="AB32" s="10"/>
      <c r="AC32" s="3"/>
    </row>
    <row r="33" spans="1:29" s="2" customFormat="1" x14ac:dyDescent="0.25">
      <c r="A33" s="5" t="s">
        <v>77</v>
      </c>
      <c r="B33" s="5" t="s">
        <v>8</v>
      </c>
      <c r="C33" s="5" t="s">
        <v>65</v>
      </c>
      <c r="D33" s="5">
        <f>IF(LEFT($A33,4) = "Dual",2,IF(LEFT($A33,6) = "Triple",3,1))</f>
        <v>1</v>
      </c>
      <c r="E33" s="5">
        <v>10</v>
      </c>
      <c r="F33" s="6">
        <v>1</v>
      </c>
      <c r="G33" s="5">
        <v>12</v>
      </c>
      <c r="H33" s="7">
        <f>IF(Table12[[#This Row],[Barrels]]&gt;1,Table12[[#This Row],[Recharge]]*1.33333333,Table12[[#This Row],[Recharge]])</f>
        <v>12</v>
      </c>
      <c r="I33" s="5">
        <v>130</v>
      </c>
      <c r="J33" s="5">
        <v>130</v>
      </c>
      <c r="K33" s="5">
        <v>130</v>
      </c>
      <c r="L33" s="7">
        <f>I33*$E33/$H33</f>
        <v>108.33333333333333</v>
      </c>
      <c r="M33" s="11">
        <f>IF($H33&lt;&gt;0,$D33*$E33*$F33*J33/$H33,)</f>
        <v>108.33333333333333</v>
      </c>
      <c r="N33" s="13">
        <f>IF($B33 = "Ballistic", 1.25*$M33,$M33)</f>
        <v>108.33333333333333</v>
      </c>
      <c r="O33" s="13">
        <f>IF($B33 = "Ballistic", $N33*1.5,$N33)</f>
        <v>108.33333333333333</v>
      </c>
      <c r="P33" s="7">
        <f>IF($H33&lt;&gt;0,$D33*$E33*$F33*K33/$H33,)</f>
        <v>108.33333333333333</v>
      </c>
      <c r="Q33" s="9">
        <f>$D33*$J33*$F33</f>
        <v>130</v>
      </c>
      <c r="R33" s="9">
        <f>$D33*$E33*$F33*$K33</f>
        <v>1300</v>
      </c>
      <c r="S33" s="5"/>
      <c r="T33" s="12">
        <v>250</v>
      </c>
      <c r="U33" s="5">
        <f>VLOOKUP(H33,Standard_F_Rates,2)</f>
        <v>3</v>
      </c>
      <c r="V33" s="5">
        <f>MAX(VLOOKUP(R33,Alt_Dmg_Table,2),IF(C33="Medium",VLOOKUP(M33,Medium_Weapon_Damage_Table,2),IF(C33="Small",VLOOKUP(M33,Small_Weapon_Damage_Table,2),IF(C33="Projector",VLOOKUP(M33,Projector_Weapon_Damage_Table,2),VLOOKUP(M33,Large_Weapon_Damage_Table,2)))))</f>
        <v>8</v>
      </c>
      <c r="W33" s="5">
        <f>VLOOKUP(AA33+AB33,Standard_Accuracy_Table,2)</f>
        <v>2</v>
      </c>
      <c r="X33" s="5">
        <f>VLOOKUP(Y33,Standard_Range_Table,2)</f>
        <v>6</v>
      </c>
      <c r="Y33" s="5">
        <v>1300</v>
      </c>
      <c r="Z33" s="7">
        <f>$D33*$E33/$H33</f>
        <v>0.83333333333333337</v>
      </c>
      <c r="AA33" s="5">
        <v>5</v>
      </c>
      <c r="AB33" s="10"/>
      <c r="AC33" s="3"/>
    </row>
    <row r="34" spans="1:29" s="2" customFormat="1" x14ac:dyDescent="0.25">
      <c r="A34" s="5" t="s">
        <v>159</v>
      </c>
      <c r="B34" s="5" t="s">
        <v>16</v>
      </c>
      <c r="C34" s="5" t="s">
        <v>72</v>
      </c>
      <c r="D34" s="5">
        <f>IF(LEFT($A34,4) = "Dual",2,IF(LEFT($A34,6) = "Triple",3,1))</f>
        <v>2</v>
      </c>
      <c r="E34" s="5">
        <v>1</v>
      </c>
      <c r="F34" s="6">
        <v>1</v>
      </c>
      <c r="G34" s="5">
        <v>5</v>
      </c>
      <c r="H34" s="7">
        <f>IF(Table12[[#This Row],[Barrels]]&gt;1,Table12[[#This Row],[Recharge]]*1.33333333,Table12[[#This Row],[Recharge]])</f>
        <v>6.6666666500000007</v>
      </c>
      <c r="I34" s="5">
        <v>360</v>
      </c>
      <c r="J34" s="5">
        <v>360</v>
      </c>
      <c r="K34" s="5">
        <v>360</v>
      </c>
      <c r="L34" s="7">
        <f>I34*$E34/$H34</f>
        <v>54.000000134999993</v>
      </c>
      <c r="M34" s="11">
        <f>IF($H34&lt;&gt;0,$D34*$E34*$F34*J34/$H34,)</f>
        <v>108.00000026999999</v>
      </c>
      <c r="N34" s="13">
        <f>IF($B34 = "Ballistic", 1.25*$M34,$M34)</f>
        <v>135.00000033749998</v>
      </c>
      <c r="O34" s="13">
        <f>IF($B34 = "Ballistic", $N34*1.5,$N34)</f>
        <v>202.50000050624999</v>
      </c>
      <c r="P34" s="7">
        <f>IF($H34&lt;&gt;0,$D34*$E34*$F34*K34/$H34,)</f>
        <v>108.00000026999999</v>
      </c>
      <c r="Q34" s="9">
        <f>$D34*$J34*$F34</f>
        <v>720</v>
      </c>
      <c r="R34" s="9">
        <f>$D34*$E34*$F34*$K34</f>
        <v>720</v>
      </c>
      <c r="S34" s="5">
        <v>450</v>
      </c>
      <c r="T34" s="12">
        <v>300</v>
      </c>
      <c r="U34" s="5">
        <f>VLOOKUP(H34,Standard_F_Rates,2)</f>
        <v>6</v>
      </c>
      <c r="V34" s="5">
        <f>MAX(VLOOKUP(R34,Alt_Dmg_Table,2),IF(C34="Medium",VLOOKUP(M34,Medium_Weapon_Damage_Table,2),IF(C34="Small",VLOOKUP(M34,Small_Weapon_Damage_Table,2),IF(C34="Projector",VLOOKUP(M34,Projector_Weapon_Damage_Table,2),VLOOKUP(M34,Large_Weapon_Damage_Table,2)))))</f>
        <v>5</v>
      </c>
      <c r="W34" s="5">
        <f>VLOOKUP(AA34+AB34,Standard_Accuracy_Table,2)</f>
        <v>3</v>
      </c>
      <c r="X34" s="5">
        <f>VLOOKUP(Y34,Standard_Range_Table,2)</f>
        <v>8</v>
      </c>
      <c r="Y34" s="5">
        <v>2000</v>
      </c>
      <c r="Z34" s="7">
        <f>$D34*$E34/$H34</f>
        <v>0.30000000075</v>
      </c>
      <c r="AA34" s="5">
        <v>4</v>
      </c>
      <c r="AB34" s="5"/>
      <c r="AC34" s="3"/>
    </row>
    <row r="35" spans="1:29" s="2" customFormat="1" x14ac:dyDescent="0.25">
      <c r="A35" s="5" t="s">
        <v>44</v>
      </c>
      <c r="B35" s="5" t="s">
        <v>84</v>
      </c>
      <c r="C35" s="5" t="s">
        <v>72</v>
      </c>
      <c r="D35" s="5">
        <f>IF(LEFT($A35,4) = "Dual",2,IF(LEFT($A35,6) = "Triple",3,1))</f>
        <v>1</v>
      </c>
      <c r="E35" s="5">
        <v>3</v>
      </c>
      <c r="F35" s="6">
        <v>1</v>
      </c>
      <c r="G35" s="5">
        <v>7</v>
      </c>
      <c r="H35" s="7">
        <f>IF(Table12[[#This Row],[Barrels]]&gt;1,Table12[[#This Row],[Recharge]]*1.33333333,Table12[[#This Row],[Recharge]])</f>
        <v>7</v>
      </c>
      <c r="I35" s="5">
        <v>150</v>
      </c>
      <c r="J35" s="5">
        <v>250</v>
      </c>
      <c r="K35" s="5">
        <v>150</v>
      </c>
      <c r="L35" s="7">
        <f>I35*$E35/$H35</f>
        <v>64.285714285714292</v>
      </c>
      <c r="M35" s="11">
        <f>IF($H35&lt;&gt;0,$D35*$E35*$F35*J35/$H35,)</f>
        <v>107.14285714285714</v>
      </c>
      <c r="N35" s="13">
        <f>IF($B35 = "Ballistic", 1.25*$M35,$M35)</f>
        <v>107.14285714285714</v>
      </c>
      <c r="O35" s="13">
        <f>IF($B35 = "Ballistic", $N35*1.5,$N35)</f>
        <v>107.14285714285714</v>
      </c>
      <c r="P35" s="7">
        <f>IF($H35&lt;&gt;0,$D35*$E35*$F35*K35/$H35,)</f>
        <v>64.285714285714292</v>
      </c>
      <c r="Q35" s="9">
        <f>$D35*$J35*$F35</f>
        <v>250</v>
      </c>
      <c r="R35" s="9">
        <f>$D35*$E35*$F35*$K35</f>
        <v>450</v>
      </c>
      <c r="S35" s="5">
        <v>350</v>
      </c>
      <c r="T35" s="12">
        <v>200</v>
      </c>
      <c r="U35" s="5">
        <f>VLOOKUP(H35,Standard_F_Rates,2)</f>
        <v>6</v>
      </c>
      <c r="V35" s="5">
        <f>MAX(VLOOKUP(R35,Alt_Dmg_Table,2),IF(C35="Medium",VLOOKUP(M35,Medium_Weapon_Damage_Table,2),IF(C35="Small",VLOOKUP(M35,Small_Weapon_Damage_Table,2),IF(C35="Projector",VLOOKUP(M35,Projector_Weapon_Damage_Table,2),VLOOKUP(M35,Large_Weapon_Damage_Table,2)))))</f>
        <v>5</v>
      </c>
      <c r="W35" s="5">
        <f>VLOOKUP(AA35+AB35,Standard_Accuracy_Table,2)</f>
        <v>4</v>
      </c>
      <c r="X35" s="5">
        <f>VLOOKUP(Y35,Standard_Range_Table,2)</f>
        <v>8</v>
      </c>
      <c r="Y35" s="5">
        <v>2100</v>
      </c>
      <c r="Z35" s="7">
        <f>$D35*$E35/$H35</f>
        <v>0.42857142857142855</v>
      </c>
      <c r="AA35" s="5">
        <v>3</v>
      </c>
      <c r="AB35" s="10"/>
      <c r="AC35" s="3"/>
    </row>
    <row r="36" spans="1:29" s="2" customFormat="1" x14ac:dyDescent="0.25">
      <c r="A36" s="5" t="s">
        <v>102</v>
      </c>
      <c r="B36" s="5" t="s">
        <v>84</v>
      </c>
      <c r="C36" s="5" t="s">
        <v>65</v>
      </c>
      <c r="D36" s="5">
        <f>IF(LEFT($A36,4) = "Dual",2,IF(LEFT($A36,6) = "Triple",3,1))</f>
        <v>1</v>
      </c>
      <c r="E36" s="5">
        <v>3</v>
      </c>
      <c r="F36" s="6">
        <v>1</v>
      </c>
      <c r="G36" s="5">
        <v>7</v>
      </c>
      <c r="H36" s="7">
        <f>IF(Table12[[#This Row],[Barrels]]&gt;1,Table12[[#This Row],[Recharge]]*1.33333333,Table12[[#This Row],[Recharge]])</f>
        <v>7</v>
      </c>
      <c r="I36" s="5">
        <v>150</v>
      </c>
      <c r="J36" s="5">
        <v>250</v>
      </c>
      <c r="K36" s="5">
        <v>150</v>
      </c>
      <c r="L36" s="7">
        <f>I36*$E36/$H36</f>
        <v>64.285714285714292</v>
      </c>
      <c r="M36" s="11">
        <f>IF($H36&lt;&gt;0,$D36*$E36*$F36*J36/$H36,)</f>
        <v>107.14285714285714</v>
      </c>
      <c r="N36" s="13">
        <f>IF($B36 = "Ballistic", 1.25*$M36,$M36)</f>
        <v>107.14285714285714</v>
      </c>
      <c r="O36" s="13">
        <f>IF($B36 = "Ballistic", $N36*1.5,$N36)</f>
        <v>107.14285714285714</v>
      </c>
      <c r="P36" s="7">
        <f>IF($H36&lt;&gt;0,$D36*$E36*$F36*K36/$H36,)</f>
        <v>64.285714285714292</v>
      </c>
      <c r="Q36" s="9">
        <f>$D36*$J36*$F36</f>
        <v>250</v>
      </c>
      <c r="R36" s="9">
        <f>$D36*$E36*$F36*$K36</f>
        <v>450</v>
      </c>
      <c r="S36" s="5"/>
      <c r="T36" s="12">
        <v>200</v>
      </c>
      <c r="U36" s="5">
        <f>VLOOKUP(H36,Standard_F_Rates,2)</f>
        <v>6</v>
      </c>
      <c r="V36" s="5">
        <f>MAX(VLOOKUP(R36,Alt_Dmg_Table,2),IF(C36="Medium",VLOOKUP(M36,Medium_Weapon_Damage_Table,2),IF(C36="Small",VLOOKUP(M36,Small_Weapon_Damage_Table,2),IF(C36="Projector",VLOOKUP(M36,Projector_Weapon_Damage_Table,2),VLOOKUP(M36,Large_Weapon_Damage_Table,2)))))</f>
        <v>5</v>
      </c>
      <c r="W36" s="5">
        <f>VLOOKUP(AA36+AB36,Standard_Accuracy_Table,2)</f>
        <v>4</v>
      </c>
      <c r="X36" s="5">
        <f>VLOOKUP(Y36,Standard_Range_Table,2)</f>
        <v>8</v>
      </c>
      <c r="Y36" s="5">
        <v>2100</v>
      </c>
      <c r="Z36" s="7">
        <f>$D36*$E36/$H36</f>
        <v>0.42857142857142855</v>
      </c>
      <c r="AA36" s="5">
        <v>3</v>
      </c>
      <c r="AB36" s="10"/>
      <c r="AC36" s="3"/>
    </row>
    <row r="37" spans="1:29" s="2" customFormat="1" x14ac:dyDescent="0.25">
      <c r="A37" s="5" t="s">
        <v>7</v>
      </c>
      <c r="B37" s="5" t="s">
        <v>16</v>
      </c>
      <c r="C37" s="5" t="s">
        <v>66</v>
      </c>
      <c r="D37" s="5">
        <f>IF(LEFT($A37,4) = "Dual",2,IF(LEFT($A37,6) = "Triple",3,1))</f>
        <v>1</v>
      </c>
      <c r="E37" s="5">
        <v>1</v>
      </c>
      <c r="F37" s="6">
        <v>1</v>
      </c>
      <c r="G37" s="5">
        <v>16</v>
      </c>
      <c r="H37" s="7">
        <f>IF(Table12[[#This Row],[Barrels]]&gt;1,Table12[[#This Row],[Recharge]]*1.33333333,Table12[[#This Row],[Recharge]])</f>
        <v>16</v>
      </c>
      <c r="I37" s="5">
        <v>1500</v>
      </c>
      <c r="J37" s="5">
        <v>1500</v>
      </c>
      <c r="K37" s="5">
        <v>1500</v>
      </c>
      <c r="L37" s="7">
        <f>I37*$E37/$H37</f>
        <v>93.75</v>
      </c>
      <c r="M37" s="11">
        <f>IF($H37&lt;&gt;0,$D37*$E37*$F37*J37/$H37,)</f>
        <v>93.75</v>
      </c>
      <c r="N37" s="13">
        <f>IF($B37 = "Ballistic", 1.25*$M37,$M37)</f>
        <v>117.1875</v>
      </c>
      <c r="O37" s="13">
        <f>IF($B37 = "Ballistic", $N37*1.5,$N37)</f>
        <v>175.78125</v>
      </c>
      <c r="P37" s="7">
        <f>IF($H37&lt;&gt;0,$D37*$E37*$F37*K37/$H37,)</f>
        <v>93.75</v>
      </c>
      <c r="Q37" s="9">
        <f>$D37*$J37*$F37</f>
        <v>1500</v>
      </c>
      <c r="R37" s="9">
        <f>$D37*$E37*$F37*$K37</f>
        <v>1500</v>
      </c>
      <c r="S37" s="5">
        <v>500</v>
      </c>
      <c r="T37" s="12">
        <v>300</v>
      </c>
      <c r="U37" s="5">
        <f>VLOOKUP(H37,Standard_F_Rates,2)</f>
        <v>2</v>
      </c>
      <c r="V37" s="5">
        <f>MAX(VLOOKUP(R37,Alt_Dmg_Table,2),IF(C37="Medium",VLOOKUP(M37,Medium_Weapon_Damage_Table,2),IF(C37="Small",VLOOKUP(M37,Small_Weapon_Damage_Table,2),IF(C37="Projector",VLOOKUP(M37,Projector_Weapon_Damage_Table,2),VLOOKUP(M37,Large_Weapon_Damage_Table,2)))))</f>
        <v>8</v>
      </c>
      <c r="W37" s="5">
        <f>VLOOKUP(AA37+AB37,Standard_Accuracy_Table,2)</f>
        <v>4</v>
      </c>
      <c r="X37" s="5">
        <f>VLOOKUP(Y37,Standard_Range_Table,2)</f>
        <v>10</v>
      </c>
      <c r="Y37" s="5">
        <v>3500</v>
      </c>
      <c r="Z37" s="7">
        <f>$D37*$E37/$H37</f>
        <v>6.25E-2</v>
      </c>
      <c r="AA37" s="5">
        <v>3</v>
      </c>
      <c r="AB37" s="5"/>
      <c r="AC37" s="3"/>
    </row>
    <row r="38" spans="1:29" s="2" customFormat="1" x14ac:dyDescent="0.25">
      <c r="A38" s="5" t="s">
        <v>76</v>
      </c>
      <c r="B38" s="5" t="s">
        <v>16</v>
      </c>
      <c r="C38" s="5" t="s">
        <v>65</v>
      </c>
      <c r="D38" s="5">
        <f>IF(LEFT($A38,4) = "Dual",2,IF(LEFT($A38,6) = "Triple",3,1))</f>
        <v>1</v>
      </c>
      <c r="E38" s="5">
        <v>1</v>
      </c>
      <c r="F38" s="6">
        <v>1</v>
      </c>
      <c r="G38" s="5">
        <v>5</v>
      </c>
      <c r="H38" s="7">
        <f>IF(Table12[[#This Row],[Barrels]]&gt;1,Table12[[#This Row],[Recharge]]*1.33333333,Table12[[#This Row],[Recharge]])</f>
        <v>5</v>
      </c>
      <c r="I38" s="5">
        <v>450</v>
      </c>
      <c r="J38" s="5">
        <v>450</v>
      </c>
      <c r="K38" s="5">
        <v>450</v>
      </c>
      <c r="L38" s="7">
        <f>I38*$E38/$H38</f>
        <v>90</v>
      </c>
      <c r="M38" s="11">
        <f>IF($H38&lt;&gt;0,$D38*$E38*$F38*J38/$H38,)</f>
        <v>90</v>
      </c>
      <c r="N38" s="13">
        <f>IF($B38 = "Ballistic", 1.25*$M38,$M38)</f>
        <v>112.5</v>
      </c>
      <c r="O38" s="13">
        <f>IF($B38 = "Ballistic", $N38*1.5,$N38)</f>
        <v>168.75</v>
      </c>
      <c r="P38" s="7">
        <f>IF($H38&lt;&gt;0,$D38*$E38*$F38*K38/$H38,)</f>
        <v>90</v>
      </c>
      <c r="Q38" s="9">
        <f>$D38*$J38*$F38</f>
        <v>450</v>
      </c>
      <c r="R38" s="9">
        <f>$D38*$E38*$F38*$K38</f>
        <v>450</v>
      </c>
      <c r="S38" s="5"/>
      <c r="T38" s="12">
        <v>160</v>
      </c>
      <c r="U38" s="5">
        <f>VLOOKUP(H38,Standard_F_Rates,2)</f>
        <v>8</v>
      </c>
      <c r="V38" s="5">
        <f>MAX(VLOOKUP(R38,Alt_Dmg_Table,2),IF(C38="Medium",VLOOKUP(M38,Medium_Weapon_Damage_Table,2),IF(C38="Small",VLOOKUP(M38,Small_Weapon_Damage_Table,2),IF(C38="Projector",VLOOKUP(M38,Projector_Weapon_Damage_Table,2),VLOOKUP(M38,Large_Weapon_Damage_Table,2)))))</f>
        <v>4</v>
      </c>
      <c r="W38" s="5">
        <f>VLOOKUP(AA38+AB38,Standard_Accuracy_Table,2)</f>
        <v>3</v>
      </c>
      <c r="X38" s="5">
        <f>VLOOKUP(Y38,Standard_Range_Table,2)</f>
        <v>10</v>
      </c>
      <c r="Y38" s="5">
        <v>3000</v>
      </c>
      <c r="Z38" s="7">
        <f>$D38*$E38/$H38</f>
        <v>0.2</v>
      </c>
      <c r="AA38" s="5">
        <v>4</v>
      </c>
      <c r="AB38" s="5"/>
      <c r="AC38" s="3"/>
    </row>
    <row r="39" spans="1:29" s="2" customFormat="1" x14ac:dyDescent="0.25">
      <c r="A39" s="5" t="s">
        <v>2</v>
      </c>
      <c r="B39" s="5" t="s">
        <v>16</v>
      </c>
      <c r="C39" s="5" t="s">
        <v>72</v>
      </c>
      <c r="D39" s="5">
        <f>IF(LEFT($A39,4) = "Dual",2,IF(LEFT($A39,6) = "Triple",3,1))</f>
        <v>1</v>
      </c>
      <c r="E39" s="5">
        <v>1</v>
      </c>
      <c r="F39" s="6">
        <v>1</v>
      </c>
      <c r="G39" s="5">
        <v>5</v>
      </c>
      <c r="H39" s="7">
        <f>IF(Table12[[#This Row],[Barrels]]&gt;1,Table12[[#This Row],[Recharge]]*1.33333333,Table12[[#This Row],[Recharge]])</f>
        <v>5</v>
      </c>
      <c r="I39" s="5">
        <v>450</v>
      </c>
      <c r="J39" s="5">
        <v>450</v>
      </c>
      <c r="K39" s="5">
        <v>450</v>
      </c>
      <c r="L39" s="7">
        <f>I39*$E39/$H39</f>
        <v>90</v>
      </c>
      <c r="M39" s="11">
        <f>IF($H39&lt;&gt;0,$D39*$E39*$F39*J39/$H39,)</f>
        <v>90</v>
      </c>
      <c r="N39" s="13">
        <f>IF($B39 = "Ballistic", 1.25*$M39,$M39)</f>
        <v>112.5</v>
      </c>
      <c r="O39" s="13">
        <f>IF($B39 = "Ballistic", $N39*1.5,$N39)</f>
        <v>168.75</v>
      </c>
      <c r="P39" s="7">
        <f>IF($H39&lt;&gt;0,$D39*$E39*$F39*K39/$H39,)</f>
        <v>90</v>
      </c>
      <c r="Q39" s="9">
        <f>$D39*$J39*$F39</f>
        <v>450</v>
      </c>
      <c r="R39" s="9">
        <f>$D39*$E39*$F39*$K39</f>
        <v>450</v>
      </c>
      <c r="S39" s="5">
        <v>450</v>
      </c>
      <c r="T39" s="12">
        <v>160</v>
      </c>
      <c r="U39" s="5">
        <f>VLOOKUP(H39,Standard_F_Rates,2)</f>
        <v>8</v>
      </c>
      <c r="V39" s="5">
        <f>MAX(VLOOKUP(R39,Alt_Dmg_Table,2),IF(C39="Medium",VLOOKUP(M39,Medium_Weapon_Damage_Table,2),IF(C39="Small",VLOOKUP(M39,Small_Weapon_Damage_Table,2),IF(C39="Projector",VLOOKUP(M39,Projector_Weapon_Damage_Table,2),VLOOKUP(M39,Large_Weapon_Damage_Table,2)))))</f>
        <v>4</v>
      </c>
      <c r="W39" s="5">
        <f>VLOOKUP(AA39+AB39,Standard_Accuracy_Table,2)</f>
        <v>3</v>
      </c>
      <c r="X39" s="5">
        <f>VLOOKUP(Y39,Standard_Range_Table,2)</f>
        <v>8</v>
      </c>
      <c r="Y39" s="5">
        <v>2000</v>
      </c>
      <c r="Z39" s="7">
        <f>$D39*$E39/$H39</f>
        <v>0.2</v>
      </c>
      <c r="AA39" s="5">
        <v>4</v>
      </c>
      <c r="AB39" s="5"/>
    </row>
    <row r="40" spans="1:29" s="2" customFormat="1" x14ac:dyDescent="0.25">
      <c r="A40" s="5" t="s">
        <v>85</v>
      </c>
      <c r="B40" s="5" t="s">
        <v>163</v>
      </c>
      <c r="C40" s="5" t="s">
        <v>72</v>
      </c>
      <c r="D40" s="5">
        <f>IF(LEFT($A40,4) = "Dual",2,IF(LEFT($A40,6) = "Triple",3,1))</f>
        <v>1</v>
      </c>
      <c r="E40" s="5">
        <v>1</v>
      </c>
      <c r="F40" s="6">
        <v>1</v>
      </c>
      <c r="G40" s="5">
        <v>1</v>
      </c>
      <c r="H40" s="7">
        <f>IF(Table12[[#This Row],[Barrels]]&gt;1,Table12[[#This Row],[Recharge]]*1.33333333,Table12[[#This Row],[Recharge]])</f>
        <v>1</v>
      </c>
      <c r="I40" s="5">
        <v>90</v>
      </c>
      <c r="J40" s="5">
        <v>90</v>
      </c>
      <c r="K40" s="5">
        <v>90</v>
      </c>
      <c r="L40" s="7">
        <f>I40*$E40/$H40</f>
        <v>90</v>
      </c>
      <c r="M40" s="11">
        <f>IF($H40&lt;&gt;0,$D40*$E40*$F40*J40/$H40,)</f>
        <v>90</v>
      </c>
      <c r="N40" s="13">
        <f>IF($B40 = "Ballistic", 1.25*$M40,$M40)</f>
        <v>90</v>
      </c>
      <c r="O40" s="13">
        <f>IF($B40 = "Ballistic", $N40*1.5,$N40)</f>
        <v>90</v>
      </c>
      <c r="P40" s="7">
        <f>IF($H40&lt;&gt;0,$D40*$E40*$F40*K40/$H40,)</f>
        <v>90</v>
      </c>
      <c r="Q40" s="9">
        <f>$D40*$J40*$F40</f>
        <v>90</v>
      </c>
      <c r="R40" s="9">
        <f>$D40*$E40*$F40*$K40</f>
        <v>90</v>
      </c>
      <c r="S40" s="5"/>
      <c r="T40" s="12">
        <v>180</v>
      </c>
      <c r="U40" s="5">
        <f>VLOOKUP(H40,Standard_F_Rates,2)</f>
        <v>10</v>
      </c>
      <c r="V40" s="5">
        <f>MAX(VLOOKUP(R40,Alt_Dmg_Table,2),IF(C40="Medium",VLOOKUP(M40,Medium_Weapon_Damage_Table,2),IF(C40="Small",VLOOKUP(M40,Small_Weapon_Damage_Table,2),IF(C40="Projector",VLOOKUP(M40,Projector_Weapon_Damage_Table,2),VLOOKUP(M40,Large_Weapon_Damage_Table,2)))))</f>
        <v>4</v>
      </c>
      <c r="W40" s="5">
        <f>VLOOKUP(AA40+AB40,Standard_Accuracy_Table,2)</f>
        <v>7</v>
      </c>
      <c r="X40" s="5">
        <f>VLOOKUP(Y40,Standard_Range_Table,2)</f>
        <v>4</v>
      </c>
      <c r="Y40" s="5">
        <v>1000</v>
      </c>
      <c r="Z40" s="7">
        <f>$D40*$E40/$H40</f>
        <v>1</v>
      </c>
      <c r="AA40" s="5">
        <v>1</v>
      </c>
      <c r="AB40" s="10"/>
    </row>
    <row r="41" spans="1:29" s="2" customFormat="1" x14ac:dyDescent="0.25">
      <c r="A41" s="5" t="s">
        <v>144</v>
      </c>
      <c r="B41" s="5" t="s">
        <v>84</v>
      </c>
      <c r="C41" s="5" t="s">
        <v>55</v>
      </c>
      <c r="D41" s="5">
        <f>IF(LEFT($A41,4) = "Dual",2,IF(LEFT($A41,6) = "Triple",3,1))</f>
        <v>2</v>
      </c>
      <c r="E41" s="5">
        <v>1</v>
      </c>
      <c r="F41" s="6">
        <v>1</v>
      </c>
      <c r="G41" s="5">
        <v>6</v>
      </c>
      <c r="H41" s="7">
        <f>IF(Table12[[#This Row],[Barrels]]&gt;1,Table12[[#This Row],[Recharge]]*1.33333333,Table12[[#This Row],[Recharge]])</f>
        <v>7.9999999800000001</v>
      </c>
      <c r="I41" s="5">
        <v>250</v>
      </c>
      <c r="J41" s="5">
        <v>350</v>
      </c>
      <c r="K41" s="5">
        <v>200</v>
      </c>
      <c r="L41" s="7">
        <f>I41*$E41/$H41</f>
        <v>31.250000078124998</v>
      </c>
      <c r="M41" s="11">
        <f>IF($H41&lt;&gt;0,$D41*$E41*$F41*J41/$H41,)</f>
        <v>87.500000218750003</v>
      </c>
      <c r="N41" s="13">
        <f>IF($B41 = "Ballistic", 1.25*$M41,$M41)</f>
        <v>87.500000218750003</v>
      </c>
      <c r="O41" s="13">
        <f>IF($B41 = "Ballistic", $N41*1.5,$N41)</f>
        <v>87.500000218750003</v>
      </c>
      <c r="P41" s="7">
        <f>IF($H41&lt;&gt;0,$D41*$E41*$F41*K41/$H41,)</f>
        <v>50.000000125</v>
      </c>
      <c r="Q41" s="9">
        <f>$D41*$J41*$F41</f>
        <v>700</v>
      </c>
      <c r="R41" s="9">
        <f>$D41*$E41*$F41*$K41</f>
        <v>400</v>
      </c>
      <c r="S41" s="5">
        <v>350</v>
      </c>
      <c r="T41" s="12">
        <v>200</v>
      </c>
      <c r="U41" s="5">
        <f>VLOOKUP(H41,Standard_F_Rates,2)</f>
        <v>5</v>
      </c>
      <c r="V41" s="5">
        <f>MAX(VLOOKUP(R41,Alt_Dmg_Table,2),IF(C41="Medium",VLOOKUP(M41,Medium_Weapon_Damage_Table,2),IF(C41="Small",VLOOKUP(M41,Small_Weapon_Damage_Table,2),IF(C41="Projector",VLOOKUP(M41,Projector_Weapon_Damage_Table,2),VLOOKUP(M41,Large_Weapon_Damage_Table,2)))))</f>
        <v>9</v>
      </c>
      <c r="W41" s="5">
        <f>VLOOKUP(AA41+AB41,Standard_Accuracy_Table,2)</f>
        <v>3</v>
      </c>
      <c r="X41" s="5">
        <f>VLOOKUP(Y41,Standard_Range_Table,2)</f>
        <v>8</v>
      </c>
      <c r="Y41" s="5">
        <v>2000</v>
      </c>
      <c r="Z41" s="7">
        <f>$D41*$E41/$H41</f>
        <v>0.250000000625</v>
      </c>
      <c r="AA41" s="5">
        <v>4</v>
      </c>
      <c r="AB41" s="10"/>
    </row>
    <row r="42" spans="1:29" s="2" customFormat="1" x14ac:dyDescent="0.25">
      <c r="A42" s="5" t="s">
        <v>107</v>
      </c>
      <c r="B42" s="5" t="s">
        <v>84</v>
      </c>
      <c r="C42" s="5" t="s">
        <v>72</v>
      </c>
      <c r="D42" s="5">
        <f>IF(LEFT($A42,4) = "Dual",2,IF(LEFT($A42,6) = "Triple",3,1))</f>
        <v>1</v>
      </c>
      <c r="E42" s="5">
        <v>3</v>
      </c>
      <c r="F42" s="6">
        <v>1</v>
      </c>
      <c r="G42" s="5">
        <v>7</v>
      </c>
      <c r="H42" s="7">
        <f>IF(Table12[[#This Row],[Barrels]]&gt;1,Table12[[#This Row],[Recharge]]*1.33333333,Table12[[#This Row],[Recharge]])</f>
        <v>7</v>
      </c>
      <c r="I42" s="5">
        <v>120</v>
      </c>
      <c r="J42" s="5">
        <v>200</v>
      </c>
      <c r="K42" s="5">
        <v>120</v>
      </c>
      <c r="L42" s="7">
        <f>I42*$E42/$H42</f>
        <v>51.428571428571431</v>
      </c>
      <c r="M42" s="11">
        <f>IF($H42&lt;&gt;0,$D42*$E42*$F42*J42/$H42,)</f>
        <v>85.714285714285708</v>
      </c>
      <c r="N42" s="13">
        <f>IF($B42 = "Ballistic", 1.25*$M42,$M42)</f>
        <v>85.714285714285708</v>
      </c>
      <c r="O42" s="13">
        <f>IF($B42 = "Ballistic", $N42*1.5,$N42)</f>
        <v>85.714285714285708</v>
      </c>
      <c r="P42" s="7">
        <f>IF($H42&lt;&gt;0,$D42*$E42*$F42*K42/$H42,)</f>
        <v>51.428571428571431</v>
      </c>
      <c r="Q42" s="9">
        <f>$D42*$J42*$F42</f>
        <v>200</v>
      </c>
      <c r="R42" s="9">
        <f>$D42*$E42*$F42*$K42</f>
        <v>360</v>
      </c>
      <c r="S42" s="5"/>
      <c r="T42" s="12">
        <v>180</v>
      </c>
      <c r="U42" s="5">
        <f>VLOOKUP(H42,Standard_F_Rates,2)</f>
        <v>6</v>
      </c>
      <c r="V42" s="5">
        <f>MAX(VLOOKUP(R42,Alt_Dmg_Table,2),IF(C42="Medium",VLOOKUP(M42,Medium_Weapon_Damage_Table,2),IF(C42="Small",VLOOKUP(M42,Small_Weapon_Damage_Table,2),IF(C42="Projector",VLOOKUP(M42,Projector_Weapon_Damage_Table,2),VLOOKUP(M42,Large_Weapon_Damage_Table,2)))))</f>
        <v>4</v>
      </c>
      <c r="W42" s="5">
        <f>VLOOKUP(AA42+AB42,Standard_Accuracy_Table,2)</f>
        <v>4</v>
      </c>
      <c r="X42" s="5">
        <f>VLOOKUP(Y42,Standard_Range_Table,2)</f>
        <v>8</v>
      </c>
      <c r="Y42" s="5">
        <v>2100</v>
      </c>
      <c r="Z42" s="7">
        <f>$D42*$E42/$H42</f>
        <v>0.42857142857142855</v>
      </c>
      <c r="AA42" s="5">
        <v>3</v>
      </c>
      <c r="AB42" s="5"/>
    </row>
    <row r="43" spans="1:29" s="2" customFormat="1" x14ac:dyDescent="0.25">
      <c r="A43" s="5" t="s">
        <v>158</v>
      </c>
      <c r="B43" s="5" t="s">
        <v>16</v>
      </c>
      <c r="C43" s="5" t="s">
        <v>72</v>
      </c>
      <c r="D43" s="5">
        <f>IF(LEFT($A43,4) = "Dual",2,IF(LEFT($A43,6) = "Triple",3,1))</f>
        <v>2</v>
      </c>
      <c r="E43" s="5">
        <v>1</v>
      </c>
      <c r="F43" s="6">
        <v>1</v>
      </c>
      <c r="G43" s="5">
        <v>8</v>
      </c>
      <c r="H43" s="7">
        <f>IF(Table12[[#This Row],[Barrels]]&gt;1,Table12[[#This Row],[Recharge]]*1.33333333,Table12[[#This Row],[Recharge]])</f>
        <v>10.666666640000001</v>
      </c>
      <c r="I43" s="5">
        <v>450</v>
      </c>
      <c r="J43" s="5">
        <v>450</v>
      </c>
      <c r="K43" s="5">
        <v>450</v>
      </c>
      <c r="L43" s="7">
        <f>I43*$E43/$H43</f>
        <v>42.18750010546875</v>
      </c>
      <c r="M43" s="11">
        <f>IF($H43&lt;&gt;0,$D43*$E43*$F43*J43/$H43,)</f>
        <v>84.3750002109375</v>
      </c>
      <c r="N43" s="13">
        <f>IF($B43 = "Ballistic", 1.25*$M43,$M43)</f>
        <v>105.46875026367188</v>
      </c>
      <c r="O43" s="13">
        <f>IF($B43 = "Ballistic", $N43*1.5,$N43)</f>
        <v>158.20312539550781</v>
      </c>
      <c r="P43" s="7">
        <f>IF($H43&lt;&gt;0,$D43*$E43*$F43*K43/$H43,)</f>
        <v>84.3750002109375</v>
      </c>
      <c r="Q43" s="9">
        <f>$D43*$J43*$F43</f>
        <v>900</v>
      </c>
      <c r="R43" s="9">
        <f>$D43*$E43*$F43*$K43</f>
        <v>900</v>
      </c>
      <c r="S43" s="5"/>
      <c r="T43" s="12">
        <v>300</v>
      </c>
      <c r="U43" s="5">
        <f>VLOOKUP(H43,Standard_F_Rates,2)</f>
        <v>3</v>
      </c>
      <c r="V43" s="5">
        <f>MAX(VLOOKUP(R43,Alt_Dmg_Table,2),IF(C43="Medium",VLOOKUP(M43,Medium_Weapon_Damage_Table,2),IF(C43="Small",VLOOKUP(M43,Small_Weapon_Damage_Table,2),IF(C43="Projector",VLOOKUP(M43,Projector_Weapon_Damage_Table,2),VLOOKUP(M43,Large_Weapon_Damage_Table,2)))))</f>
        <v>6</v>
      </c>
      <c r="W43" s="5">
        <f>VLOOKUP(AA43+AB43,Standard_Accuracy_Table,2)</f>
        <v>7</v>
      </c>
      <c r="X43" s="5">
        <f>VLOOKUP(Y43,Standard_Range_Table,2)</f>
        <v>10</v>
      </c>
      <c r="Y43" s="5">
        <v>3000</v>
      </c>
      <c r="Z43" s="7">
        <f>$D43*$E43/$H43</f>
        <v>0.18750000046874998</v>
      </c>
      <c r="AA43" s="5">
        <v>1</v>
      </c>
      <c r="AB43" s="10"/>
    </row>
    <row r="44" spans="1:29" s="2" customFormat="1" x14ac:dyDescent="0.25">
      <c r="A44" s="5" t="s">
        <v>97</v>
      </c>
      <c r="B44" s="5" t="s">
        <v>8</v>
      </c>
      <c r="C44" s="5" t="s">
        <v>65</v>
      </c>
      <c r="D44" s="5">
        <f>IF(LEFT($A44,4) = "Dual",2,IF(LEFT($A44,6) = "Triple",3,1))</f>
        <v>1</v>
      </c>
      <c r="E44" s="5">
        <v>10</v>
      </c>
      <c r="F44" s="6">
        <v>1</v>
      </c>
      <c r="G44" s="5">
        <v>12</v>
      </c>
      <c r="H44" s="7">
        <f>IF(Table12[[#This Row],[Barrels]]&gt;1,Table12[[#This Row],[Recharge]]*1.33333333,Table12[[#This Row],[Recharge]])</f>
        <v>12</v>
      </c>
      <c r="I44" s="5">
        <v>100</v>
      </c>
      <c r="J44" s="5">
        <v>100</v>
      </c>
      <c r="K44" s="5">
        <v>100</v>
      </c>
      <c r="L44" s="7">
        <f>I44*$E44/$H44</f>
        <v>83.333333333333329</v>
      </c>
      <c r="M44" s="11">
        <f>IF($H44&lt;&gt;0,$D44*$E44*$F44*J44/$H44,)</f>
        <v>83.333333333333329</v>
      </c>
      <c r="N44" s="13">
        <f>IF($B44 = "Ballistic", 1.25*$M44,$M44)</f>
        <v>83.333333333333329</v>
      </c>
      <c r="O44" s="13">
        <f>IF($B44 = "Ballistic", $N44*1.5,$N44)</f>
        <v>83.333333333333329</v>
      </c>
      <c r="P44" s="7">
        <f>IF($H44&lt;&gt;0,$D44*$E44*$F44*K44/$H44,)</f>
        <v>83.333333333333329</v>
      </c>
      <c r="Q44" s="9">
        <f>$D44*$J44*$F44</f>
        <v>100</v>
      </c>
      <c r="R44" s="9">
        <f>$D44*$E44*$F44*$K44</f>
        <v>1000</v>
      </c>
      <c r="S44" s="5"/>
      <c r="T44" s="12">
        <v>250</v>
      </c>
      <c r="U44" s="5">
        <f>VLOOKUP(H44,Standard_F_Rates,2)</f>
        <v>3</v>
      </c>
      <c r="V44" s="5">
        <f>MAX(VLOOKUP(R44,Alt_Dmg_Table,2),IF(C44="Medium",VLOOKUP(M44,Medium_Weapon_Damage_Table,2),IF(C44="Small",VLOOKUP(M44,Small_Weapon_Damage_Table,2),IF(C44="Projector",VLOOKUP(M44,Projector_Weapon_Damage_Table,2),VLOOKUP(M44,Large_Weapon_Damage_Table,2)))))</f>
        <v>7</v>
      </c>
      <c r="W44" s="5">
        <f>VLOOKUP(AA44+AB44,Standard_Accuracy_Table,2)</f>
        <v>2</v>
      </c>
      <c r="X44" s="5">
        <f>VLOOKUP(Y44,Standard_Range_Table,2)</f>
        <v>6</v>
      </c>
      <c r="Y44" s="5">
        <v>1300</v>
      </c>
      <c r="Z44" s="7">
        <f>$D44*$E44/$H44</f>
        <v>0.83333333333333337</v>
      </c>
      <c r="AA44" s="5">
        <v>5</v>
      </c>
      <c r="AB44" s="5"/>
    </row>
    <row r="45" spans="1:29" s="2" customFormat="1" x14ac:dyDescent="0.25">
      <c r="A45" s="5" t="s">
        <v>92</v>
      </c>
      <c r="B45" s="5" t="s">
        <v>8</v>
      </c>
      <c r="C45" s="5" t="s">
        <v>72</v>
      </c>
      <c r="D45" s="5">
        <f>IF(LEFT($A45,4) = "Dual",2,IF(LEFT($A45,6) = "Triple",3,1))</f>
        <v>1</v>
      </c>
      <c r="E45" s="5">
        <v>10</v>
      </c>
      <c r="F45" s="6">
        <v>1</v>
      </c>
      <c r="G45" s="5">
        <v>12</v>
      </c>
      <c r="H45" s="7">
        <f>IF(Table12[[#This Row],[Barrels]]&gt;1,Table12[[#This Row],[Recharge]]*1.33333333,Table12[[#This Row],[Recharge]])</f>
        <v>12</v>
      </c>
      <c r="I45" s="5">
        <v>100</v>
      </c>
      <c r="J45" s="5">
        <v>100</v>
      </c>
      <c r="K45" s="5">
        <v>100</v>
      </c>
      <c r="L45" s="7">
        <f>I45*$E45/$H45</f>
        <v>83.333333333333329</v>
      </c>
      <c r="M45" s="11">
        <f>IF($H45&lt;&gt;0,$D45*$E45*$F45*J45/$H45,)</f>
        <v>83.333333333333329</v>
      </c>
      <c r="N45" s="13">
        <f>IF($B45 = "Ballistic", 1.25*$M45,$M45)</f>
        <v>83.333333333333329</v>
      </c>
      <c r="O45" s="13">
        <f>IF($B45 = "Ballistic", $N45*1.5,$N45)</f>
        <v>83.333333333333329</v>
      </c>
      <c r="P45" s="7">
        <f>IF($H45&lt;&gt;0,$D45*$E45*$F45*K45/$H45,)</f>
        <v>83.333333333333329</v>
      </c>
      <c r="Q45" s="9">
        <f>$D45*$J45*$F45</f>
        <v>100</v>
      </c>
      <c r="R45" s="9">
        <f>$D45*$E45*$F45*$K45</f>
        <v>1000</v>
      </c>
      <c r="S45" s="5"/>
      <c r="T45" s="12">
        <v>180</v>
      </c>
      <c r="U45" s="5">
        <f>VLOOKUP(H45,Standard_F_Rates,2)</f>
        <v>3</v>
      </c>
      <c r="V45" s="5">
        <f>MAX(VLOOKUP(R45,Alt_Dmg_Table,2),IF(C45="Medium",VLOOKUP(M45,Medium_Weapon_Damage_Table,2),IF(C45="Small",VLOOKUP(M45,Small_Weapon_Damage_Table,2),IF(C45="Projector",VLOOKUP(M45,Projector_Weapon_Damage_Table,2),VLOOKUP(M45,Large_Weapon_Damage_Table,2)))))</f>
        <v>7</v>
      </c>
      <c r="W45" s="5">
        <f>VLOOKUP(AA45+AB45,Standard_Accuracy_Table,2)</f>
        <v>2</v>
      </c>
      <c r="X45" s="5">
        <f>VLOOKUP(Y45,Standard_Range_Table,2)</f>
        <v>6</v>
      </c>
      <c r="Y45" s="5">
        <v>1300</v>
      </c>
      <c r="Z45" s="7">
        <f>$D45*$E45/$H45</f>
        <v>0.83333333333333337</v>
      </c>
      <c r="AA45" s="5">
        <v>5</v>
      </c>
      <c r="AB45" s="5"/>
    </row>
    <row r="46" spans="1:29" s="2" customFormat="1" x14ac:dyDescent="0.25">
      <c r="A46" s="5" t="s">
        <v>45</v>
      </c>
      <c r="B46" s="5" t="s">
        <v>84</v>
      </c>
      <c r="C46" s="5" t="s">
        <v>72</v>
      </c>
      <c r="D46" s="5">
        <f>IF(LEFT($A46,4) = "Dual",2,IF(LEFT($A46,6) = "Triple",3,1))</f>
        <v>1</v>
      </c>
      <c r="E46" s="5">
        <v>3</v>
      </c>
      <c r="F46" s="6">
        <v>1</v>
      </c>
      <c r="G46" s="5">
        <v>7</v>
      </c>
      <c r="H46" s="7">
        <f>IF(Table12[[#This Row],[Barrels]]&gt;1,Table12[[#This Row],[Recharge]]*1.33333333,Table12[[#This Row],[Recharge]])</f>
        <v>7</v>
      </c>
      <c r="I46" s="5">
        <v>100</v>
      </c>
      <c r="J46" s="5">
        <v>180</v>
      </c>
      <c r="K46" s="5">
        <v>100</v>
      </c>
      <c r="L46" s="7">
        <f>I46*$E46/$H46</f>
        <v>42.857142857142854</v>
      </c>
      <c r="M46" s="11">
        <f>IF($H46&lt;&gt;0,$D46*$E46*$F46*J46/$H46,)</f>
        <v>77.142857142857139</v>
      </c>
      <c r="N46" s="13">
        <f>IF($B46 = "Ballistic", 1.25*$M46,$M46)</f>
        <v>77.142857142857139</v>
      </c>
      <c r="O46" s="13">
        <f>IF($B46 = "Ballistic", $N46*1.5,$N46)</f>
        <v>77.142857142857139</v>
      </c>
      <c r="P46" s="7">
        <f>IF($H46&lt;&gt;0,$D46*$E46*$F46*K46/$H46,)</f>
        <v>42.857142857142854</v>
      </c>
      <c r="Q46" s="9">
        <f>$D46*$J46*$F46</f>
        <v>180</v>
      </c>
      <c r="R46" s="9">
        <f>$D46*$E46*$F46*$K46</f>
        <v>300</v>
      </c>
      <c r="S46" s="5">
        <v>250</v>
      </c>
      <c r="T46" s="12">
        <v>140</v>
      </c>
      <c r="U46" s="5">
        <f>VLOOKUP(H46,Standard_F_Rates,2)</f>
        <v>6</v>
      </c>
      <c r="V46" s="5">
        <f>MAX(VLOOKUP(R46,Alt_Dmg_Table,2),IF(C46="Medium",VLOOKUP(M46,Medium_Weapon_Damage_Table,2),IF(C46="Small",VLOOKUP(M46,Small_Weapon_Damage_Table,2),IF(C46="Projector",VLOOKUP(M46,Projector_Weapon_Damage_Table,2),VLOOKUP(M46,Large_Weapon_Damage_Table,2)))))</f>
        <v>3</v>
      </c>
      <c r="W46" s="5">
        <f>VLOOKUP(AA46+AB46,Standard_Accuracy_Table,2)</f>
        <v>4</v>
      </c>
      <c r="X46" s="5">
        <f>VLOOKUP(Y46,Standard_Range_Table,2)</f>
        <v>8</v>
      </c>
      <c r="Y46" s="5">
        <v>1800</v>
      </c>
      <c r="Z46" s="7">
        <f>$D46*$E46/$H46</f>
        <v>0.42857142857142855</v>
      </c>
      <c r="AA46" s="5">
        <v>3</v>
      </c>
      <c r="AB46" s="5"/>
    </row>
    <row r="47" spans="1:29" s="2" customFormat="1" x14ac:dyDescent="0.25">
      <c r="A47" s="5" t="s">
        <v>207</v>
      </c>
      <c r="B47" s="5" t="s">
        <v>84</v>
      </c>
      <c r="C47" s="5" t="s">
        <v>65</v>
      </c>
      <c r="D47" s="5">
        <f>IF(LEFT($A47,4) = "Dual",2,IF(LEFT($A47,6) = "Triple",3,1))</f>
        <v>1</v>
      </c>
      <c r="E47" s="5">
        <v>3</v>
      </c>
      <c r="F47" s="6">
        <v>1</v>
      </c>
      <c r="G47" s="5">
        <v>7</v>
      </c>
      <c r="H47" s="7">
        <f>IF(Table12[[#This Row],[Barrels]]&gt;1,Table12[[#This Row],[Recharge]]*1.33333333,Table12[[#This Row],[Recharge]])</f>
        <v>7</v>
      </c>
      <c r="I47" s="5">
        <v>100</v>
      </c>
      <c r="J47" s="5">
        <v>180</v>
      </c>
      <c r="K47" s="5">
        <v>100</v>
      </c>
      <c r="L47" s="7">
        <f>I47*$E47/$H47</f>
        <v>42.857142857142854</v>
      </c>
      <c r="M47" s="11">
        <f>IF($H47&lt;&gt;0,$D47*$E47*$F47*J47/$H47,)</f>
        <v>77.142857142857139</v>
      </c>
      <c r="N47" s="13">
        <f>IF($B47 = "Ballistic", 1.25*$M47,$M47)</f>
        <v>77.142857142857139</v>
      </c>
      <c r="O47" s="13">
        <f>IF($B47 = "Ballistic", $N47*1.5,$N47)</f>
        <v>77.142857142857139</v>
      </c>
      <c r="P47" s="7">
        <f>IF($H47&lt;&gt;0,$D47*$E47*$F47*K47/$H47,)</f>
        <v>42.857142857142854</v>
      </c>
      <c r="Q47" s="9">
        <f>$D47*$J47*$F47</f>
        <v>180</v>
      </c>
      <c r="R47" s="9">
        <f>$D47*$E47*$F47*$K47</f>
        <v>300</v>
      </c>
      <c r="S47" s="5"/>
      <c r="T47" s="12">
        <v>140</v>
      </c>
      <c r="U47" s="5">
        <f>VLOOKUP(H47,Standard_F_Rates,2)</f>
        <v>6</v>
      </c>
      <c r="V47" s="5">
        <f>MAX(VLOOKUP(R47,Alt_Dmg_Table,2),IF(C47="Medium",VLOOKUP(M47,Medium_Weapon_Damage_Table,2),IF(C47="Small",VLOOKUP(M47,Small_Weapon_Damage_Table,2),IF(C47="Projector",VLOOKUP(M47,Projector_Weapon_Damage_Table,2),VLOOKUP(M47,Large_Weapon_Damage_Table,2)))))</f>
        <v>3</v>
      </c>
      <c r="W47" s="5">
        <f>VLOOKUP(AA47+AB47,Standard_Accuracy_Table,2)</f>
        <v>3</v>
      </c>
      <c r="X47" s="5">
        <f>VLOOKUP(Y47,Standard_Range_Table,2)</f>
        <v>8</v>
      </c>
      <c r="Y47" s="5">
        <v>1800</v>
      </c>
      <c r="Z47" s="7">
        <f>$D47*$E47/$H47</f>
        <v>0.42857142857142855</v>
      </c>
      <c r="AA47" s="5">
        <v>4</v>
      </c>
      <c r="AB47" s="5"/>
    </row>
    <row r="48" spans="1:29" s="2" customFormat="1" x14ac:dyDescent="0.25">
      <c r="A48" s="5" t="s">
        <v>93</v>
      </c>
      <c r="B48" s="5" t="s">
        <v>16</v>
      </c>
      <c r="C48" s="5" t="s">
        <v>72</v>
      </c>
      <c r="D48" s="5">
        <f>IF(LEFT($A48,4) = "Dual",2,IF(LEFT($A48,6) = "Triple",3,1))</f>
        <v>1</v>
      </c>
      <c r="E48" s="5">
        <v>1</v>
      </c>
      <c r="F48" s="6">
        <v>1</v>
      </c>
      <c r="G48" s="5">
        <v>5</v>
      </c>
      <c r="H48" s="7">
        <f>IF(Table12[[#This Row],[Barrels]]&gt;1,Table12[[#This Row],[Recharge]]*1.33333333,Table12[[#This Row],[Recharge]])</f>
        <v>5</v>
      </c>
      <c r="I48" s="5">
        <v>360</v>
      </c>
      <c r="J48" s="5">
        <v>360</v>
      </c>
      <c r="K48" s="5">
        <v>360</v>
      </c>
      <c r="L48" s="7">
        <f>I48*$E48/$H48</f>
        <v>72</v>
      </c>
      <c r="M48" s="11">
        <f>IF($H48&lt;&gt;0,$D48*$E48*$F48*J48/$H48,)</f>
        <v>72</v>
      </c>
      <c r="N48" s="13">
        <f>IF($B48 = "Ballistic", 1.25*$M48,$M48)</f>
        <v>90</v>
      </c>
      <c r="O48" s="13">
        <f>IF($B48 = "Ballistic", $N48*1.5,$N48)</f>
        <v>135</v>
      </c>
      <c r="P48" s="7">
        <f>IF($H48&lt;&gt;0,$D48*$E48*$F48*K48/$H48,)</f>
        <v>72</v>
      </c>
      <c r="Q48" s="9">
        <f>$D48*$J48*$F48</f>
        <v>360</v>
      </c>
      <c r="R48" s="9">
        <f>$D48*$E48*$F48*$K48</f>
        <v>360</v>
      </c>
      <c r="S48" s="5">
        <v>450</v>
      </c>
      <c r="T48" s="12">
        <v>160</v>
      </c>
      <c r="U48" s="5">
        <f>VLOOKUP(H48,Standard_F_Rates,2)</f>
        <v>8</v>
      </c>
      <c r="V48" s="5">
        <f>MAX(VLOOKUP(R48,Alt_Dmg_Table,2),IF(C48="Medium",VLOOKUP(M48,Medium_Weapon_Damage_Table,2),IF(C48="Small",VLOOKUP(M48,Small_Weapon_Damage_Table,2),IF(C48="Projector",VLOOKUP(M48,Projector_Weapon_Damage_Table,2),VLOOKUP(M48,Large_Weapon_Damage_Table,2)))))</f>
        <v>3</v>
      </c>
      <c r="W48" s="5">
        <f>VLOOKUP(AA48+AB48,Standard_Accuracy_Table,2)</f>
        <v>3</v>
      </c>
      <c r="X48" s="5">
        <f>VLOOKUP(Y48,Standard_Range_Table,2)</f>
        <v>8</v>
      </c>
      <c r="Y48" s="5">
        <v>2000</v>
      </c>
      <c r="Z48" s="7">
        <f>$D48*$E48/$H48</f>
        <v>0.2</v>
      </c>
      <c r="AA48" s="5">
        <v>4</v>
      </c>
      <c r="AB48" s="5"/>
    </row>
    <row r="49" spans="1:28" s="2" customFormat="1" x14ac:dyDescent="0.25">
      <c r="A49" s="5" t="s">
        <v>96</v>
      </c>
      <c r="B49" s="5" t="s">
        <v>16</v>
      </c>
      <c r="C49" s="5" t="s">
        <v>65</v>
      </c>
      <c r="D49" s="5">
        <f>IF(LEFT($A49,4) = "Dual",2,IF(LEFT($A49,6) = "Triple",3,1))</f>
        <v>1</v>
      </c>
      <c r="E49" s="5">
        <v>1</v>
      </c>
      <c r="F49" s="6">
        <v>1</v>
      </c>
      <c r="G49" s="5">
        <v>5</v>
      </c>
      <c r="H49" s="7">
        <f>IF(Table12[[#This Row],[Barrels]]&gt;1,Table12[[#This Row],[Recharge]]*1.33333333,Table12[[#This Row],[Recharge]])</f>
        <v>5</v>
      </c>
      <c r="I49" s="5">
        <v>360</v>
      </c>
      <c r="J49" s="5">
        <v>360</v>
      </c>
      <c r="K49" s="5">
        <v>360</v>
      </c>
      <c r="L49" s="7">
        <f>I49*$E49/$H49</f>
        <v>72</v>
      </c>
      <c r="M49" s="11">
        <f>IF($H49&lt;&gt;0,$D49*$E49*$F49*J49/$H49,)</f>
        <v>72</v>
      </c>
      <c r="N49" s="13">
        <f>IF($B49 = "Ballistic", 1.25*$M49,$M49)</f>
        <v>90</v>
      </c>
      <c r="O49" s="13">
        <f>IF($B49 = "Ballistic", $N49*1.5,$N49)</f>
        <v>135</v>
      </c>
      <c r="P49" s="7">
        <f>IF($H49&lt;&gt;0,$D49*$E49*$F49*K49/$H49,)</f>
        <v>72</v>
      </c>
      <c r="Q49" s="9">
        <f>$D49*$J49*$F49</f>
        <v>360</v>
      </c>
      <c r="R49" s="9">
        <f>$D49*$E49*$F49*$K49</f>
        <v>360</v>
      </c>
      <c r="S49" s="5"/>
      <c r="T49" s="12">
        <v>160</v>
      </c>
      <c r="U49" s="5">
        <f>VLOOKUP(H49,Standard_F_Rates,2)</f>
        <v>8</v>
      </c>
      <c r="V49" s="5">
        <f>MAX(VLOOKUP(R49,Alt_Dmg_Table,2),IF(C49="Medium",VLOOKUP(M49,Medium_Weapon_Damage_Table,2),IF(C49="Small",VLOOKUP(M49,Small_Weapon_Damage_Table,2),IF(C49="Projector",VLOOKUP(M49,Projector_Weapon_Damage_Table,2),VLOOKUP(M49,Large_Weapon_Damage_Table,2)))))</f>
        <v>3</v>
      </c>
      <c r="W49" s="5">
        <f>VLOOKUP(AA49+AB49,Standard_Accuracy_Table,2)</f>
        <v>3</v>
      </c>
      <c r="X49" s="5">
        <f>VLOOKUP(Y49,Standard_Range_Table,2)</f>
        <v>8</v>
      </c>
      <c r="Y49" s="5">
        <v>2000</v>
      </c>
      <c r="Z49" s="7">
        <f>$D49*$E49/$H49</f>
        <v>0.2</v>
      </c>
      <c r="AA49" s="5">
        <v>4</v>
      </c>
      <c r="AB49" s="5"/>
    </row>
    <row r="50" spans="1:28" s="2" customFormat="1" x14ac:dyDescent="0.25">
      <c r="A50" s="5" t="s">
        <v>145</v>
      </c>
      <c r="B50" s="5" t="s">
        <v>84</v>
      </c>
      <c r="C50" s="5" t="s">
        <v>55</v>
      </c>
      <c r="D50" s="5">
        <f>IF(LEFT($A50,4) = "Dual",2,IF(LEFT($A50,6) = "Triple",3,1))</f>
        <v>2</v>
      </c>
      <c r="E50" s="5">
        <v>1</v>
      </c>
      <c r="F50" s="6">
        <v>1</v>
      </c>
      <c r="G50" s="5">
        <v>6</v>
      </c>
      <c r="H50" s="7">
        <f>IF(Table12[[#This Row],[Barrels]]&gt;1,Table12[[#This Row],[Recharge]]*1.33333333,Table12[[#This Row],[Recharge]])</f>
        <v>7.9999999800000001</v>
      </c>
      <c r="I50" s="5">
        <v>200</v>
      </c>
      <c r="J50" s="5">
        <v>280</v>
      </c>
      <c r="K50" s="5">
        <v>200</v>
      </c>
      <c r="L50" s="7">
        <f>I50*$E50/$H50</f>
        <v>25.0000000625</v>
      </c>
      <c r="M50" s="11">
        <f>IF($H50&lt;&gt;0,$D50*$E50*$F50*J50/$H50,)</f>
        <v>70.000000174999997</v>
      </c>
      <c r="N50" s="13">
        <f>IF($B50 = "Ballistic", 1.25*$M50,$M50)</f>
        <v>70.000000174999997</v>
      </c>
      <c r="O50" s="13">
        <f>IF($B50 = "Ballistic", $N50*1.5,$N50)</f>
        <v>70.000000174999997</v>
      </c>
      <c r="P50" s="7">
        <f>IF($H50&lt;&gt;0,$D50*$E50*$F50*K50/$H50,)</f>
        <v>50.000000125</v>
      </c>
      <c r="Q50" s="9">
        <f>$D50*$J50*$F50</f>
        <v>560</v>
      </c>
      <c r="R50" s="9">
        <f>$D50*$E50*$F50*$K50</f>
        <v>400</v>
      </c>
      <c r="S50" s="5">
        <v>550</v>
      </c>
      <c r="T50" s="12">
        <v>200</v>
      </c>
      <c r="U50" s="5">
        <f>VLOOKUP(H50,Standard_F_Rates,2)</f>
        <v>5</v>
      </c>
      <c r="V50" s="5">
        <f>MAX(VLOOKUP(R50,Alt_Dmg_Table,2),IF(C50="Medium",VLOOKUP(M50,Medium_Weapon_Damage_Table,2),IF(C50="Small",VLOOKUP(M50,Small_Weapon_Damage_Table,2),IF(C50="Projector",VLOOKUP(M50,Projector_Weapon_Damage_Table,2),VLOOKUP(M50,Large_Weapon_Damage_Table,2)))))</f>
        <v>7</v>
      </c>
      <c r="W50" s="5">
        <f>VLOOKUP(AA50+AB50,Standard_Accuracy_Table,2)</f>
        <v>3</v>
      </c>
      <c r="X50" s="5">
        <f>VLOOKUP(Y50,Standard_Range_Table,2)</f>
        <v>8</v>
      </c>
      <c r="Y50" s="5">
        <v>2000</v>
      </c>
      <c r="Z50" s="7">
        <f>$D50*$E50/$H50</f>
        <v>0.250000000625</v>
      </c>
      <c r="AA50" s="5">
        <v>4</v>
      </c>
      <c r="AB50" s="10"/>
    </row>
    <row r="51" spans="1:28" s="2" customFormat="1" x14ac:dyDescent="0.25">
      <c r="A51" s="5" t="s">
        <v>38</v>
      </c>
      <c r="B51" s="5" t="s">
        <v>19</v>
      </c>
      <c r="C51" s="5" t="s">
        <v>72</v>
      </c>
      <c r="D51" s="5">
        <f>IF(LEFT($A51,4) = "Dual",2,IF(LEFT($A51,6) = "Triple",3,1))</f>
        <v>1</v>
      </c>
      <c r="E51" s="5">
        <v>1</v>
      </c>
      <c r="F51" s="6">
        <v>2</v>
      </c>
      <c r="G51" s="5">
        <v>10</v>
      </c>
      <c r="H51" s="7">
        <f>IF(Table12[[#This Row],[Barrels]]&gt;1,Table12[[#This Row],[Recharge]]*1.33333333,Table12[[#This Row],[Recharge]])</f>
        <v>10</v>
      </c>
      <c r="I51" s="5">
        <v>350</v>
      </c>
      <c r="J51" s="5">
        <v>350</v>
      </c>
      <c r="K51" s="5">
        <v>350</v>
      </c>
      <c r="L51" s="7">
        <f>I51*$E51/$H51</f>
        <v>35</v>
      </c>
      <c r="M51" s="11">
        <f>IF($H51&lt;&gt;0,$D51*$E51*$F51*J51/$H51,)</f>
        <v>70</v>
      </c>
      <c r="N51" s="13">
        <f>IF($B51 = "Ballistic", 1.25*$M51,$M51)</f>
        <v>70</v>
      </c>
      <c r="O51" s="13">
        <f>IF($B51 = "Ballistic", $N51*1.5,$N51)</f>
        <v>70</v>
      </c>
      <c r="P51" s="7">
        <f>IF($H51&lt;&gt;0,$D51*$E51*$F51*K51/$H51,)</f>
        <v>70</v>
      </c>
      <c r="Q51" s="9">
        <f>$D51*$J51*$F51</f>
        <v>700</v>
      </c>
      <c r="R51" s="9">
        <f>$D51*$E51*$F51*$K51</f>
        <v>700</v>
      </c>
      <c r="S51" s="5">
        <v>500</v>
      </c>
      <c r="T51" s="12">
        <v>160</v>
      </c>
      <c r="U51" s="5">
        <f>VLOOKUP(H51,Standard_F_Rates,2)</f>
        <v>4</v>
      </c>
      <c r="V51" s="5">
        <f>MAX(VLOOKUP(R51,Alt_Dmg_Table,2),IF(C51="Medium",VLOOKUP(M51,Medium_Weapon_Damage_Table,2),IF(C51="Small",VLOOKUP(M51,Small_Weapon_Damage_Table,2),IF(C51="Projector",VLOOKUP(M51,Projector_Weapon_Damage_Table,2),VLOOKUP(M51,Large_Weapon_Damage_Table,2)))))</f>
        <v>5</v>
      </c>
      <c r="W51" s="5">
        <f>VLOOKUP(AA51+AB51,Standard_Accuracy_Table,2)</f>
        <v>10</v>
      </c>
      <c r="X51" s="5">
        <f>VLOOKUP(Y51,Standard_Range_Table,2)</f>
        <v>7</v>
      </c>
      <c r="Y51" s="5">
        <v>1500</v>
      </c>
      <c r="Z51" s="7">
        <f>$D51*$E51/$H51</f>
        <v>0.1</v>
      </c>
      <c r="AA51" s="5">
        <v>0</v>
      </c>
      <c r="AB51" s="5"/>
    </row>
    <row r="52" spans="1:28" s="2" customFormat="1" x14ac:dyDescent="0.25">
      <c r="A52" s="5" t="s">
        <v>75</v>
      </c>
      <c r="B52" s="5" t="s">
        <v>19</v>
      </c>
      <c r="C52" s="5" t="s">
        <v>65</v>
      </c>
      <c r="D52" s="5">
        <f>IF(LEFT($A52,4) = "Dual",2,IF(LEFT($A52,6) = "Triple",3,1))</f>
        <v>1</v>
      </c>
      <c r="E52" s="5">
        <v>1</v>
      </c>
      <c r="F52" s="6">
        <v>2</v>
      </c>
      <c r="G52" s="5">
        <v>10</v>
      </c>
      <c r="H52" s="7">
        <f>IF(Table12[[#This Row],[Barrels]]&gt;1,Table12[[#This Row],[Recharge]]*1.33333333,Table12[[#This Row],[Recharge]])</f>
        <v>10</v>
      </c>
      <c r="I52" s="5">
        <v>350</v>
      </c>
      <c r="J52" s="5">
        <v>350</v>
      </c>
      <c r="K52" s="5">
        <v>350</v>
      </c>
      <c r="L52" s="7">
        <f>I52*$E52/$H52</f>
        <v>35</v>
      </c>
      <c r="M52" s="11">
        <f>IF($H52&lt;&gt;0,$D52*$E52*$F52*J52/$H52,)</f>
        <v>70</v>
      </c>
      <c r="N52" s="13">
        <f>IF($B52 = "Ballistic", 1.25*$M52,$M52)</f>
        <v>70</v>
      </c>
      <c r="O52" s="13">
        <f>IF($B52 = "Ballistic", $N52*1.5,$N52)</f>
        <v>70</v>
      </c>
      <c r="P52" s="7">
        <f>IF($H52&lt;&gt;0,$D52*$E52*$F52*K52/$H52,)</f>
        <v>70</v>
      </c>
      <c r="Q52" s="9">
        <f>$D52*$J52*$F52</f>
        <v>700</v>
      </c>
      <c r="R52" s="9">
        <f>$D52*$E52*$F52*$K52</f>
        <v>700</v>
      </c>
      <c r="S52" s="5"/>
      <c r="T52" s="12">
        <v>160</v>
      </c>
      <c r="U52" s="5">
        <f>VLOOKUP(H52,Standard_F_Rates,2)</f>
        <v>4</v>
      </c>
      <c r="V52" s="5">
        <f>MAX(VLOOKUP(R52,Alt_Dmg_Table,2),IF(C52="Medium",VLOOKUP(M52,Medium_Weapon_Damage_Table,2),IF(C52="Small",VLOOKUP(M52,Small_Weapon_Damage_Table,2),IF(C52="Projector",VLOOKUP(M52,Projector_Weapon_Damage_Table,2),VLOOKUP(M52,Large_Weapon_Damage_Table,2)))))</f>
        <v>5</v>
      </c>
      <c r="W52" s="5">
        <f>VLOOKUP(AA52+AB52,Standard_Accuracy_Table,2)</f>
        <v>5</v>
      </c>
      <c r="X52" s="5">
        <f>VLOOKUP(Y52,Standard_Range_Table,2)</f>
        <v>7</v>
      </c>
      <c r="Y52" s="5">
        <v>1500</v>
      </c>
      <c r="Z52" s="7">
        <f>$D52*$E52/$H52</f>
        <v>0.1</v>
      </c>
      <c r="AA52" s="5">
        <v>2</v>
      </c>
      <c r="AB52" s="5"/>
    </row>
    <row r="53" spans="1:28" s="2" customFormat="1" x14ac:dyDescent="0.25">
      <c r="A53" s="5" t="s">
        <v>117</v>
      </c>
      <c r="B53" s="5" t="s">
        <v>111</v>
      </c>
      <c r="C53" s="5" t="s">
        <v>65</v>
      </c>
      <c r="D53" s="5">
        <f>IF(LEFT($A53,4) = "Dual",2,IF(LEFT($A53,6) = "Triple",3,1))</f>
        <v>1</v>
      </c>
      <c r="E53" s="5">
        <v>1</v>
      </c>
      <c r="F53" s="6">
        <v>2.5</v>
      </c>
      <c r="G53" s="5">
        <v>22</v>
      </c>
      <c r="H53" s="7">
        <f>IF(Table12[[#This Row],[Barrels]]&gt;1,Table12[[#This Row],[Recharge]]*1.33333333,Table12[[#This Row],[Recharge]])</f>
        <v>22</v>
      </c>
      <c r="I53" s="5">
        <v>600</v>
      </c>
      <c r="J53" s="5">
        <v>600</v>
      </c>
      <c r="K53" s="5">
        <v>600</v>
      </c>
      <c r="L53" s="7">
        <f>I53*$E53/$H53</f>
        <v>27.272727272727273</v>
      </c>
      <c r="M53" s="11">
        <f>IF($H53&lt;&gt;0,$D53*$E53*$F53*J53/$H53,)</f>
        <v>68.181818181818187</v>
      </c>
      <c r="N53" s="13">
        <f>IF($B53 = "Ballistic", 1.25*$M53,$M53)</f>
        <v>68.181818181818187</v>
      </c>
      <c r="O53" s="13">
        <f>IF($B53 = "Ballistic", $N53*1.5,$N53)</f>
        <v>68.181818181818187</v>
      </c>
      <c r="P53" s="7">
        <f>IF($H53&lt;&gt;0,$D53*$E53*$F53*K53/$H53,)</f>
        <v>68.181818181818187</v>
      </c>
      <c r="Q53" s="9">
        <f>$D53*$J53*$F53</f>
        <v>1500</v>
      </c>
      <c r="R53" s="9">
        <f>$D53*$E53*$F53*$K53</f>
        <v>1500</v>
      </c>
      <c r="S53" s="5"/>
      <c r="T53" s="12">
        <v>250</v>
      </c>
      <c r="U53" s="5">
        <f>VLOOKUP(H53,Standard_F_Rates,2)</f>
        <v>1</v>
      </c>
      <c r="V53" s="5">
        <f>MAX(VLOOKUP(R53,Alt_Dmg_Table,2),IF(C53="Medium",VLOOKUP(M53,Medium_Weapon_Damage_Table,2),IF(C53="Small",VLOOKUP(M53,Small_Weapon_Damage_Table,2),IF(C53="Projector",VLOOKUP(M53,Projector_Weapon_Damage_Table,2),VLOOKUP(M53,Large_Weapon_Damage_Table,2)))))</f>
        <v>8</v>
      </c>
      <c r="W53" s="5">
        <f>VLOOKUP(AA53+AB53,Standard_Accuracy_Table,2)</f>
        <v>5</v>
      </c>
      <c r="X53" s="5">
        <f>VLOOKUP(Y53,Standard_Range_Table,2)</f>
        <v>8</v>
      </c>
      <c r="Y53" s="5">
        <v>1800</v>
      </c>
      <c r="Z53" s="7">
        <f>$D53*$E53/$H53</f>
        <v>4.5454545454545456E-2</v>
      </c>
      <c r="AA53" s="5">
        <v>2</v>
      </c>
      <c r="AB53" s="5"/>
    </row>
    <row r="54" spans="1:28" s="2" customFormat="1" x14ac:dyDescent="0.25">
      <c r="A54" s="5" t="s">
        <v>116</v>
      </c>
      <c r="B54" s="5" t="s">
        <v>111</v>
      </c>
      <c r="C54" s="5" t="s">
        <v>19</v>
      </c>
      <c r="D54" s="5">
        <f>IF(LEFT($A54,4) = "Dual",2,IF(LEFT($A54,6) = "Triple",3,1))</f>
        <v>1</v>
      </c>
      <c r="E54" s="5">
        <v>1</v>
      </c>
      <c r="F54" s="6">
        <v>2.5</v>
      </c>
      <c r="G54" s="5">
        <v>22</v>
      </c>
      <c r="H54" s="7">
        <f>IF(Table12[[#This Row],[Barrels]]&gt;1,Table12[[#This Row],[Recharge]]*1.33333333,Table12[[#This Row],[Recharge]])</f>
        <v>22</v>
      </c>
      <c r="I54" s="5">
        <v>600</v>
      </c>
      <c r="J54" s="5">
        <v>600</v>
      </c>
      <c r="K54" s="5">
        <v>600</v>
      </c>
      <c r="L54" s="7">
        <f>I54*$E54/$H54</f>
        <v>27.272727272727273</v>
      </c>
      <c r="M54" s="11">
        <f>IF($H54&lt;&gt;0,$D54*$E54*$F54*J54/$H54,)</f>
        <v>68.181818181818187</v>
      </c>
      <c r="N54" s="13">
        <f>IF($B54 = "Ballistic", 1.25*$M54,$M54)</f>
        <v>68.181818181818187</v>
      </c>
      <c r="O54" s="13">
        <f>IF($B54 = "Ballistic", $N54*1.5,$N54)</f>
        <v>68.181818181818187</v>
      </c>
      <c r="P54" s="7">
        <f>IF($H54&lt;&gt;0,$D54*$E54*$F54*K54/$H54,)</f>
        <v>68.181818181818187</v>
      </c>
      <c r="Q54" s="9">
        <f>$D54*$J54*$F54</f>
        <v>1500</v>
      </c>
      <c r="R54" s="9">
        <f>$D54*$E54*$F54*$K54</f>
        <v>1500</v>
      </c>
      <c r="S54" s="5">
        <v>800</v>
      </c>
      <c r="T54" s="12">
        <v>200</v>
      </c>
      <c r="U54" s="5">
        <f>VLOOKUP(H54,Standard_F_Rates,2)</f>
        <v>1</v>
      </c>
      <c r="V54" s="5">
        <f>MAX(VLOOKUP(R54,Alt_Dmg_Table,2),IF(C54="Medium",VLOOKUP(M54,Medium_Weapon_Damage_Table,2),IF(C54="Small",VLOOKUP(M54,Small_Weapon_Damage_Table,2),IF(C54="Projector",VLOOKUP(M54,Projector_Weapon_Damage_Table,2),VLOOKUP(M54,Large_Weapon_Damage_Table,2)))))</f>
        <v>8</v>
      </c>
      <c r="W54" s="5">
        <f>VLOOKUP(AA54+AB54,Standard_Accuracy_Table,2)</f>
        <v>5</v>
      </c>
      <c r="X54" s="5">
        <f>VLOOKUP(Y54,Standard_Range_Table,2)</f>
        <v>8</v>
      </c>
      <c r="Y54" s="5">
        <v>1800</v>
      </c>
      <c r="Z54" s="7">
        <f>$D54*$E54/$H54</f>
        <v>4.5454545454545456E-2</v>
      </c>
      <c r="AA54" s="5">
        <v>2</v>
      </c>
      <c r="AB54" s="5"/>
    </row>
    <row r="55" spans="1:28" s="2" customFormat="1" x14ac:dyDescent="0.25">
      <c r="A55" s="5" t="s">
        <v>147</v>
      </c>
      <c r="B55" s="5" t="s">
        <v>67</v>
      </c>
      <c r="C55" s="5" t="s">
        <v>55</v>
      </c>
      <c r="D55" s="5">
        <f>IF(LEFT($A55,4) = "Dual",2,IF(LEFT($A55,6) = "Triple",3,1))</f>
        <v>2</v>
      </c>
      <c r="E55" s="5">
        <v>3</v>
      </c>
      <c r="F55" s="6">
        <v>1</v>
      </c>
      <c r="G55" s="5">
        <v>6</v>
      </c>
      <c r="H55" s="7">
        <f>IF(Table12[[#This Row],[Barrels]]&gt;1,Table12[[#This Row],[Recharge]]*1.33333333,Table12[[#This Row],[Recharge]])</f>
        <v>7.9999999800000001</v>
      </c>
      <c r="I55" s="5">
        <v>100</v>
      </c>
      <c r="J55" s="5">
        <v>90</v>
      </c>
      <c r="K55" s="5">
        <v>70</v>
      </c>
      <c r="L55" s="7">
        <f>I55*$E55/$H55</f>
        <v>37.500000093749996</v>
      </c>
      <c r="M55" s="11">
        <f>IF($H55&lt;&gt;0,$D55*$E55*$F55*J55/$H55,)</f>
        <v>67.500000168750006</v>
      </c>
      <c r="N55" s="13">
        <f>IF($B55 = "Ballistic", 1.25*$M55,$M55)</f>
        <v>67.500000168750006</v>
      </c>
      <c r="O55" s="13">
        <f>IF($B55 = "Ballistic", $N55*1.5,$N55)</f>
        <v>67.500000168750006</v>
      </c>
      <c r="P55" s="7">
        <f>IF($H55&lt;&gt;0,$D55*$E55*$F55*K55/$H55,)</f>
        <v>52.500000131249998</v>
      </c>
      <c r="Q55" s="9">
        <f>$D55*$J55*$F55</f>
        <v>180</v>
      </c>
      <c r="R55" s="9">
        <f>$D55*$E55*$F55*$K55</f>
        <v>420</v>
      </c>
      <c r="S55" s="5"/>
      <c r="T55" s="12">
        <v>180</v>
      </c>
      <c r="U55" s="5">
        <f>VLOOKUP(H55,Standard_F_Rates,2)</f>
        <v>5</v>
      </c>
      <c r="V55" s="5">
        <f>MAX(VLOOKUP(R55,Alt_Dmg_Table,2),IF(C55="Medium",VLOOKUP(M55,Medium_Weapon_Damage_Table,2),IF(C55="Small",VLOOKUP(M55,Small_Weapon_Damage_Table,2),IF(C55="Projector",VLOOKUP(M55,Projector_Weapon_Damage_Table,2),VLOOKUP(M55,Large_Weapon_Damage_Table,2)))))</f>
        <v>7</v>
      </c>
      <c r="W55" s="5">
        <f>VLOOKUP(AA55+AB55,Standard_Accuracy_Table,2)</f>
        <v>8</v>
      </c>
      <c r="X55" s="5">
        <f>VLOOKUP(Y55,Standard_Range_Table,2)</f>
        <v>10</v>
      </c>
      <c r="Y55" s="5">
        <v>3000</v>
      </c>
      <c r="Z55" s="7">
        <f>$D55*$E55/$H55</f>
        <v>0.75000000187500004</v>
      </c>
      <c r="AA55" s="5">
        <v>0.5</v>
      </c>
      <c r="AB55" s="5"/>
    </row>
    <row r="56" spans="1:28" s="2" customFormat="1" x14ac:dyDescent="0.25">
      <c r="A56" s="5" t="s">
        <v>146</v>
      </c>
      <c r="B56" s="5" t="s">
        <v>68</v>
      </c>
      <c r="C56" s="5" t="s">
        <v>55</v>
      </c>
      <c r="D56" s="5">
        <f>IF(LEFT($A56,4) = "Dual",2,IF(LEFT($A56,6) = "Triple",3,1))</f>
        <v>2</v>
      </c>
      <c r="E56" s="5">
        <v>1</v>
      </c>
      <c r="F56" s="6">
        <v>1</v>
      </c>
      <c r="G56" s="5">
        <v>11</v>
      </c>
      <c r="H56" s="7">
        <f>IF(Table12[[#This Row],[Barrels]]&gt;1,Table12[[#This Row],[Recharge]]*1.33333333,Table12[[#This Row],[Recharge]])</f>
        <v>14.666666630000002</v>
      </c>
      <c r="I56" s="5">
        <v>495</v>
      </c>
      <c r="J56" s="5">
        <v>495</v>
      </c>
      <c r="K56" s="5">
        <v>495</v>
      </c>
      <c r="L56" s="7">
        <f>I56*$E56/$H56</f>
        <v>33.750000084374996</v>
      </c>
      <c r="M56" s="11">
        <f>IF($H56&lt;&gt;0,$D56*$E56*$F56*J56/$H56,)</f>
        <v>67.500000168749992</v>
      </c>
      <c r="N56" s="13">
        <f>IF($B56 = "Ballistic", 1.25*$M56,$M56)</f>
        <v>67.500000168749992</v>
      </c>
      <c r="O56" s="13">
        <f>IF($B56 = "Ballistic", $N56*1.5,$N56)</f>
        <v>67.500000168749992</v>
      </c>
      <c r="P56" s="7">
        <f>IF($H56&lt;&gt;0,$D56*$E56*$F56*K56/$H56,)</f>
        <v>67.500000168749992</v>
      </c>
      <c r="Q56" s="9">
        <f>$D56*$J56*$F56</f>
        <v>990</v>
      </c>
      <c r="R56" s="9">
        <f>$D56*$E56*$F56*$K56</f>
        <v>990</v>
      </c>
      <c r="S56" s="5">
        <v>200</v>
      </c>
      <c r="T56" s="12">
        <v>180</v>
      </c>
      <c r="U56" s="5">
        <f>VLOOKUP(H56,Standard_F_Rates,2)</f>
        <v>2</v>
      </c>
      <c r="V56" s="5">
        <f>MAX(VLOOKUP(R56,Alt_Dmg_Table,2),IF(C56="Medium",VLOOKUP(M56,Medium_Weapon_Damage_Table,2),IF(C56="Small",VLOOKUP(M56,Small_Weapon_Damage_Table,2),IF(C56="Projector",VLOOKUP(M56,Projector_Weapon_Damage_Table,2),VLOOKUP(M56,Large_Weapon_Damage_Table,2)))))</f>
        <v>7</v>
      </c>
      <c r="W56" s="5">
        <f>VLOOKUP(AA56+AB56,Standard_Accuracy_Table,2)</f>
        <v>10</v>
      </c>
      <c r="X56" s="5">
        <f>VLOOKUP(Y56,Standard_Range_Table,2)</f>
        <v>5</v>
      </c>
      <c r="Y56" s="5">
        <v>1250</v>
      </c>
      <c r="Z56" s="7">
        <f>$D56*$E56/$H56</f>
        <v>0.13636363670454543</v>
      </c>
      <c r="AA56" s="5">
        <v>0</v>
      </c>
      <c r="AB56" s="5"/>
    </row>
    <row r="57" spans="1:28" s="2" customFormat="1" x14ac:dyDescent="0.25">
      <c r="A57" s="5" t="s">
        <v>148</v>
      </c>
      <c r="B57" s="5" t="s">
        <v>84</v>
      </c>
      <c r="C57" s="5" t="s">
        <v>55</v>
      </c>
      <c r="D57" s="5">
        <f>IF(LEFT($A57,4) = "Dual",2,IF(LEFT($A57,6) = "Triple",3,1))</f>
        <v>2</v>
      </c>
      <c r="E57" s="5">
        <v>1</v>
      </c>
      <c r="F57" s="6">
        <v>1</v>
      </c>
      <c r="G57" s="5">
        <v>6</v>
      </c>
      <c r="H57" s="7">
        <f>IF(Table12[[#This Row],[Barrels]]&gt;1,Table12[[#This Row],[Recharge]]*1.33333333,Table12[[#This Row],[Recharge]])</f>
        <v>7.9999999800000001</v>
      </c>
      <c r="I57" s="5">
        <v>150</v>
      </c>
      <c r="J57" s="5">
        <v>250</v>
      </c>
      <c r="K57" s="5">
        <v>150</v>
      </c>
      <c r="L57" s="7">
        <f>I57*$E57/$H57</f>
        <v>18.750000046874998</v>
      </c>
      <c r="M57" s="11">
        <f>IF($H57&lt;&gt;0,$D57*$E57*$F57*J57/$H57,)</f>
        <v>62.500000156249996</v>
      </c>
      <c r="N57" s="13">
        <f>IF($B57 = "Ballistic", 1.25*$M57,$M57)</f>
        <v>62.500000156249996</v>
      </c>
      <c r="O57" s="13">
        <f>IF($B57 = "Ballistic", $N57*1.5,$N57)</f>
        <v>62.500000156249996</v>
      </c>
      <c r="P57" s="7">
        <f>IF($H57&lt;&gt;0,$D57*$E57*$F57*K57/$H57,)</f>
        <v>37.500000093749996</v>
      </c>
      <c r="Q57" s="9">
        <f>$D57*$J57*$F57</f>
        <v>500</v>
      </c>
      <c r="R57" s="9">
        <f>$D57*$E57*$F57*$K57</f>
        <v>300</v>
      </c>
      <c r="S57" s="5">
        <v>180</v>
      </c>
      <c r="T57" s="12">
        <v>160</v>
      </c>
      <c r="U57" s="5">
        <f>VLOOKUP(H57,Standard_F_Rates,2)</f>
        <v>5</v>
      </c>
      <c r="V57" s="5">
        <f>MAX(VLOOKUP(R57,Alt_Dmg_Table,2),IF(C57="Medium",VLOOKUP(M57,Medium_Weapon_Damage_Table,2),IF(C57="Small",VLOOKUP(M57,Small_Weapon_Damage_Table,2),IF(C57="Projector",VLOOKUP(M57,Projector_Weapon_Damage_Table,2),VLOOKUP(M57,Large_Weapon_Damage_Table,2)))))</f>
        <v>6</v>
      </c>
      <c r="W57" s="5">
        <f>VLOOKUP(AA57+AB57,Standard_Accuracy_Table,2)</f>
        <v>3</v>
      </c>
      <c r="X57" s="5">
        <f>VLOOKUP(Y57,Standard_Range_Table,2)</f>
        <v>7</v>
      </c>
      <c r="Y57" s="5">
        <v>1500</v>
      </c>
      <c r="Z57" s="7">
        <f>$D57*$E57/$H57</f>
        <v>0.250000000625</v>
      </c>
      <c r="AA57" s="5">
        <v>4</v>
      </c>
      <c r="AB57" s="5"/>
    </row>
    <row r="58" spans="1:28" s="2" customFormat="1" x14ac:dyDescent="0.25">
      <c r="A58" s="5" t="s">
        <v>108</v>
      </c>
      <c r="B58" s="5" t="s">
        <v>84</v>
      </c>
      <c r="C58" s="5" t="s">
        <v>72</v>
      </c>
      <c r="D58" s="5">
        <f>IF(LEFT($A58,4) = "Dual",2,IF(LEFT($A58,6) = "Triple",3,1))</f>
        <v>1</v>
      </c>
      <c r="E58" s="5">
        <v>3</v>
      </c>
      <c r="F58" s="6">
        <v>1</v>
      </c>
      <c r="G58" s="5">
        <v>7</v>
      </c>
      <c r="H58" s="7">
        <f>IF(Table12[[#This Row],[Barrels]]&gt;1,Table12[[#This Row],[Recharge]]*1.33333333,Table12[[#This Row],[Recharge]])</f>
        <v>7</v>
      </c>
      <c r="I58" s="5">
        <v>80</v>
      </c>
      <c r="J58" s="5">
        <v>144</v>
      </c>
      <c r="K58" s="5">
        <v>80</v>
      </c>
      <c r="L58" s="7">
        <f>I58*$E58/$H58</f>
        <v>34.285714285714285</v>
      </c>
      <c r="M58" s="11">
        <f>IF($H58&lt;&gt;0,$D58*$E58*$F58*J58/$H58,)</f>
        <v>61.714285714285715</v>
      </c>
      <c r="N58" s="13">
        <f>IF($B58 = "Ballistic", 1.25*$M58,$M58)</f>
        <v>61.714285714285715</v>
      </c>
      <c r="O58" s="13">
        <f>IF($B58 = "Ballistic", $N58*1.5,$N58)</f>
        <v>61.714285714285715</v>
      </c>
      <c r="P58" s="7">
        <f>IF($H58&lt;&gt;0,$D58*$E58*$F58*K58/$H58,)</f>
        <v>34.285714285714285</v>
      </c>
      <c r="Q58" s="9">
        <f>$D58*$J58*$F58</f>
        <v>144</v>
      </c>
      <c r="R58" s="9">
        <f>$D58*$E58*$F58*$K58</f>
        <v>240</v>
      </c>
      <c r="S58" s="5"/>
      <c r="T58" s="12">
        <v>140</v>
      </c>
      <c r="U58" s="5">
        <f>VLOOKUP(H58,Standard_F_Rates,2)</f>
        <v>6</v>
      </c>
      <c r="V58" s="5">
        <f>MAX(VLOOKUP(R58,Alt_Dmg_Table,2),IF(C58="Medium",VLOOKUP(M58,Medium_Weapon_Damage_Table,2),IF(C58="Small",VLOOKUP(M58,Small_Weapon_Damage_Table,2),IF(C58="Projector",VLOOKUP(M58,Projector_Weapon_Damage_Table,2),VLOOKUP(M58,Large_Weapon_Damage_Table,2)))))</f>
        <v>3</v>
      </c>
      <c r="W58" s="5">
        <f>VLOOKUP(AA58+AB58,Standard_Accuracy_Table,2)</f>
        <v>4</v>
      </c>
      <c r="X58" s="5">
        <f>VLOOKUP(Y58,Standard_Range_Table,2)</f>
        <v>8</v>
      </c>
      <c r="Y58" s="5">
        <v>1800</v>
      </c>
      <c r="Z58" s="7">
        <f>$D58*$E58/$H58</f>
        <v>0.42857142857142855</v>
      </c>
      <c r="AA58" s="5">
        <v>3</v>
      </c>
      <c r="AB58" s="5"/>
    </row>
    <row r="59" spans="1:28" s="2" customFormat="1" x14ac:dyDescent="0.25">
      <c r="A59" s="5" t="s">
        <v>42</v>
      </c>
      <c r="B59" s="5" t="s">
        <v>84</v>
      </c>
      <c r="C59" s="5" t="s">
        <v>55</v>
      </c>
      <c r="D59" s="5">
        <f>IF(LEFT($A59,4) = "Dual",2,IF(LEFT($A59,6) = "Triple",3,1))</f>
        <v>1</v>
      </c>
      <c r="E59" s="5">
        <v>1</v>
      </c>
      <c r="F59" s="6">
        <v>1</v>
      </c>
      <c r="G59" s="5">
        <v>6</v>
      </c>
      <c r="H59" s="7">
        <f>IF(Table12[[#This Row],[Barrels]]&gt;1,Table12[[#This Row],[Recharge]]*1.33333333,Table12[[#This Row],[Recharge]])</f>
        <v>6</v>
      </c>
      <c r="I59" s="5">
        <v>250</v>
      </c>
      <c r="J59" s="5">
        <v>350</v>
      </c>
      <c r="K59" s="5">
        <v>200</v>
      </c>
      <c r="L59" s="7">
        <f>I59*$E59/$H59</f>
        <v>41.666666666666664</v>
      </c>
      <c r="M59" s="11">
        <f>IF($H59&lt;&gt;0,$D59*$E59*$F59*J59/$H59,)</f>
        <v>58.333333333333336</v>
      </c>
      <c r="N59" s="13">
        <f>IF($B59 = "Ballistic", 1.25*$M59,$M59)</f>
        <v>58.333333333333336</v>
      </c>
      <c r="O59" s="13">
        <f>IF($B59 = "Ballistic", $N59*1.5,$N59)</f>
        <v>58.333333333333336</v>
      </c>
      <c r="P59" s="7">
        <f>IF($H59&lt;&gt;0,$D59*$E59*$F59*K59/$H59,)</f>
        <v>33.333333333333336</v>
      </c>
      <c r="Q59" s="9">
        <f>$D59*$J59*$F59</f>
        <v>350</v>
      </c>
      <c r="R59" s="9">
        <f>$D59*$E59*$F59*$K59</f>
        <v>200</v>
      </c>
      <c r="S59" s="5">
        <v>350</v>
      </c>
      <c r="T59" s="12">
        <v>120</v>
      </c>
      <c r="U59" s="5">
        <f>VLOOKUP(H59,Standard_F_Rates,2)</f>
        <v>7</v>
      </c>
      <c r="V59" s="5">
        <f>MAX(VLOOKUP(R59,Alt_Dmg_Table,2),IF(C59="Medium",VLOOKUP(M59,Medium_Weapon_Damage_Table,2),IF(C59="Small",VLOOKUP(M59,Small_Weapon_Damage_Table,2),IF(C59="Projector",VLOOKUP(M59,Projector_Weapon_Damage_Table,2),VLOOKUP(M59,Large_Weapon_Damage_Table,2)))))</f>
        <v>6</v>
      </c>
      <c r="W59" s="5">
        <f>VLOOKUP(AA59+AB59,Standard_Accuracy_Table,2)</f>
        <v>3</v>
      </c>
      <c r="X59" s="5">
        <f>VLOOKUP(Y59,Standard_Range_Table,2)</f>
        <v>8</v>
      </c>
      <c r="Y59" s="5">
        <v>2000</v>
      </c>
      <c r="Z59" s="7">
        <f>$D59*$E59/$H59</f>
        <v>0.16666666666666666</v>
      </c>
      <c r="AA59" s="5">
        <v>4</v>
      </c>
      <c r="AB59" s="5"/>
    </row>
    <row r="60" spans="1:28" s="2" customFormat="1" x14ac:dyDescent="0.25">
      <c r="A60" s="5" t="s">
        <v>89</v>
      </c>
      <c r="B60" s="5" t="s">
        <v>16</v>
      </c>
      <c r="C60" s="5" t="s">
        <v>72</v>
      </c>
      <c r="D60" s="5">
        <f>IF(LEFT($A60,4) = "Dual",2,IF(LEFT($A60,6) = "Triple",3,1))</f>
        <v>1</v>
      </c>
      <c r="E60" s="5">
        <v>1</v>
      </c>
      <c r="F60" s="6">
        <v>1</v>
      </c>
      <c r="G60" s="5">
        <v>8</v>
      </c>
      <c r="H60" s="7">
        <f>IF(Table12[[#This Row],[Barrels]]&gt;1,Table12[[#This Row],[Recharge]]*1.33333333,Table12[[#This Row],[Recharge]])</f>
        <v>8</v>
      </c>
      <c r="I60" s="5">
        <v>450</v>
      </c>
      <c r="J60" s="5">
        <v>450</v>
      </c>
      <c r="K60" s="5">
        <v>450</v>
      </c>
      <c r="L60" s="7">
        <f>I60*$E60/$H60</f>
        <v>56.25</v>
      </c>
      <c r="M60" s="11">
        <f>IF($H60&lt;&gt;0,$D60*$E60*$F60*J60/$H60,)</f>
        <v>56.25</v>
      </c>
      <c r="N60" s="13">
        <f>IF($B60 = "Ballistic", 1.25*$M60,$M60)</f>
        <v>70.3125</v>
      </c>
      <c r="O60" s="13">
        <f>IF($B60 = "Ballistic", $N60*1.5,$N60)</f>
        <v>105.46875</v>
      </c>
      <c r="P60" s="7">
        <f>IF($H60&lt;&gt;0,$D60*$E60*$F60*K60/$H60,)</f>
        <v>56.25</v>
      </c>
      <c r="Q60" s="9">
        <f>$D60*$J60*$F60</f>
        <v>450</v>
      </c>
      <c r="R60" s="9">
        <f>$D60*$E60*$F60*$K60</f>
        <v>450</v>
      </c>
      <c r="S60" s="5"/>
      <c r="T60" s="12">
        <v>160</v>
      </c>
      <c r="U60" s="5">
        <f>VLOOKUP(H60,Standard_F_Rates,2)</f>
        <v>5</v>
      </c>
      <c r="V60" s="5">
        <f>MAX(VLOOKUP(R60,Alt_Dmg_Table,2),IF(C60="Medium",VLOOKUP(M60,Medium_Weapon_Damage_Table,2),IF(C60="Small",VLOOKUP(M60,Small_Weapon_Damage_Table,2),IF(C60="Projector",VLOOKUP(M60,Projector_Weapon_Damage_Table,2),VLOOKUP(M60,Large_Weapon_Damage_Table,2)))))</f>
        <v>4</v>
      </c>
      <c r="W60" s="5">
        <f>VLOOKUP(AA60+AB60,Standard_Accuracy_Table,2)</f>
        <v>7</v>
      </c>
      <c r="X60" s="5">
        <f>VLOOKUP(Y60,Standard_Range_Table,2)</f>
        <v>10</v>
      </c>
      <c r="Y60" s="5">
        <v>3000</v>
      </c>
      <c r="Z60" s="7">
        <f>$D60*$E60/$H60</f>
        <v>0.125</v>
      </c>
      <c r="AA60" s="5">
        <v>1</v>
      </c>
      <c r="AB60" s="5"/>
    </row>
    <row r="61" spans="1:28" s="2" customFormat="1" x14ac:dyDescent="0.25">
      <c r="A61" s="5" t="s">
        <v>95</v>
      </c>
      <c r="B61" s="5" t="s">
        <v>16</v>
      </c>
      <c r="C61" s="5" t="s">
        <v>65</v>
      </c>
      <c r="D61" s="5">
        <f>IF(LEFT($A61,4) = "Dual",2,IF(LEFT($A61,6) = "Triple",3,1))</f>
        <v>1</v>
      </c>
      <c r="E61" s="5">
        <v>1</v>
      </c>
      <c r="F61" s="6">
        <v>1</v>
      </c>
      <c r="G61" s="5">
        <v>8</v>
      </c>
      <c r="H61" s="7">
        <f>IF(Table12[[#This Row],[Barrels]]&gt;1,Table12[[#This Row],[Recharge]]*1.33333333,Table12[[#This Row],[Recharge]])</f>
        <v>8</v>
      </c>
      <c r="I61" s="5">
        <v>450</v>
      </c>
      <c r="J61" s="5">
        <v>450</v>
      </c>
      <c r="K61" s="5">
        <v>450</v>
      </c>
      <c r="L61" s="7">
        <f>I61*$E61/$H61</f>
        <v>56.25</v>
      </c>
      <c r="M61" s="11">
        <f>IF($H61&lt;&gt;0,$D61*$E61*$F61*J61/$H61,)</f>
        <v>56.25</v>
      </c>
      <c r="N61" s="13">
        <f>IF($B61 = "Ballistic", 1.25*$M61,$M61)</f>
        <v>70.3125</v>
      </c>
      <c r="O61" s="13">
        <f>IF($B61 = "Ballistic", $N61*1.5,$N61)</f>
        <v>105.46875</v>
      </c>
      <c r="P61" s="7">
        <f>IF($H61&lt;&gt;0,$D61*$E61*$F61*K61/$H61,)</f>
        <v>56.25</v>
      </c>
      <c r="Q61" s="9">
        <f>$D61*$J61*$F61</f>
        <v>450</v>
      </c>
      <c r="R61" s="9">
        <f>$D61*$E61*$F61*$K61</f>
        <v>450</v>
      </c>
      <c r="S61" s="5"/>
      <c r="T61" s="12">
        <v>160</v>
      </c>
      <c r="U61" s="5">
        <f>VLOOKUP(H61,Standard_F_Rates,2)</f>
        <v>5</v>
      </c>
      <c r="V61" s="5">
        <f>MAX(VLOOKUP(R61,Alt_Dmg_Table,2),IF(C61="Medium",VLOOKUP(M61,Medium_Weapon_Damage_Table,2),IF(C61="Small",VLOOKUP(M61,Small_Weapon_Damage_Table,2),IF(C61="Projector",VLOOKUP(M61,Projector_Weapon_Damage_Table,2),VLOOKUP(M61,Large_Weapon_Damage_Table,2)))))</f>
        <v>4</v>
      </c>
      <c r="W61" s="5">
        <f>VLOOKUP(AA61+AB61,Standard_Accuracy_Table,2)</f>
        <v>7</v>
      </c>
      <c r="X61" s="5">
        <f>VLOOKUP(Y61,Standard_Range_Table,2)</f>
        <v>10</v>
      </c>
      <c r="Y61" s="5">
        <v>3000</v>
      </c>
      <c r="Z61" s="7">
        <f>$D61*$E61/$H61</f>
        <v>0.125</v>
      </c>
      <c r="AA61" s="5">
        <v>1</v>
      </c>
      <c r="AB61" s="5"/>
    </row>
    <row r="62" spans="1:28" s="2" customFormat="1" x14ac:dyDescent="0.25">
      <c r="A62" s="27" t="s">
        <v>209</v>
      </c>
      <c r="B62" s="27" t="s">
        <v>16</v>
      </c>
      <c r="C62" s="27" t="s">
        <v>72</v>
      </c>
      <c r="D62" s="27">
        <f>IF(LEFT($A62,4) = "Dual",2,IF(LEFT($A62,6) = "Triple",3,1))</f>
        <v>1</v>
      </c>
      <c r="E62" s="27">
        <v>1</v>
      </c>
      <c r="F62" s="28">
        <v>1</v>
      </c>
      <c r="G62" s="27">
        <v>10</v>
      </c>
      <c r="H62" s="7">
        <f>IF(Table12[[#This Row],[Barrels]]&gt;1,Table12[[#This Row],[Recharge]]*1.33333333,Table12[[#This Row],[Recharge]])</f>
        <v>10</v>
      </c>
      <c r="I62" s="27">
        <f>150*15/4</f>
        <v>562.5</v>
      </c>
      <c r="J62" s="27">
        <f>150*15/4</f>
        <v>562.5</v>
      </c>
      <c r="K62" s="27">
        <f>150*15/4</f>
        <v>562.5</v>
      </c>
      <c r="L62" s="29">
        <f>I62*$E62/$H62</f>
        <v>56.25</v>
      </c>
      <c r="M62" s="30">
        <f>IF($H62&lt;&gt;0,$D62*$E62*$F62*J62/$H62,)</f>
        <v>56.25</v>
      </c>
      <c r="N62" s="31">
        <f>IF($B62 = "Ballistic", 1.25*$M62,$M62)</f>
        <v>70.3125</v>
      </c>
      <c r="O62" s="31">
        <f>IF($B62 = "Ballistic", $N62*1.5,$N62)</f>
        <v>105.46875</v>
      </c>
      <c r="P62" s="29">
        <f>IF($H62&lt;&gt;0,$D62*$E62*$F62*K62/$H62,)</f>
        <v>56.25</v>
      </c>
      <c r="Q62" s="42">
        <f>$D62*$J62*$F62</f>
        <v>562.5</v>
      </c>
      <c r="R62" s="42">
        <f>$D62*$E62*$F62*$K62</f>
        <v>562.5</v>
      </c>
      <c r="S62" s="27"/>
      <c r="T62" s="33">
        <v>200</v>
      </c>
      <c r="U62" s="27">
        <f>VLOOKUP(H62,Standard_F_Rates,2)</f>
        <v>4</v>
      </c>
      <c r="V62" s="27">
        <f>MAX(VLOOKUP(R62,Alt_Dmg_Table,2),IF(C62="Medium",VLOOKUP(M62,Medium_Weapon_Damage_Table,2),IF(C62="Small",VLOOKUP(M62,Small_Weapon_Damage_Table,2),IF(C62="Projector",VLOOKUP(M62,Projector_Weapon_Damage_Table,2),VLOOKUP(M62,Large_Weapon_Damage_Table,2)))))</f>
        <v>5</v>
      </c>
      <c r="W62" s="27">
        <f>VLOOKUP(AA62+AB62,Standard_Accuracy_Table,2)</f>
        <v>3</v>
      </c>
      <c r="X62" s="27">
        <f>VLOOKUP(Y62,Standard_Range_Table,2)</f>
        <v>8</v>
      </c>
      <c r="Y62" s="27">
        <v>1850</v>
      </c>
      <c r="Z62" s="29">
        <f>$D62*$E62/$H62</f>
        <v>0.1</v>
      </c>
      <c r="AA62" s="10">
        <v>4</v>
      </c>
      <c r="AB62" s="10"/>
    </row>
    <row r="63" spans="1:28" s="2" customFormat="1" x14ac:dyDescent="0.25">
      <c r="A63" s="5" t="s">
        <v>56</v>
      </c>
      <c r="B63" s="5" t="s">
        <v>26</v>
      </c>
      <c r="C63" s="5" t="s">
        <v>55</v>
      </c>
      <c r="D63" s="5">
        <f>IF(LEFT($A63,4) = "Dual",2,IF(LEFT($A63,6) = "Triple",3,1))</f>
        <v>1</v>
      </c>
      <c r="E63" s="5">
        <v>5</v>
      </c>
      <c r="F63" s="6">
        <v>0.75</v>
      </c>
      <c r="G63" s="5">
        <v>10</v>
      </c>
      <c r="H63" s="7">
        <f>IF(Table12[[#This Row],[Barrels]]&gt;1,Table12[[#This Row],[Recharge]]*1.33333333,Table12[[#This Row],[Recharge]])</f>
        <v>10</v>
      </c>
      <c r="I63" s="5">
        <v>140</v>
      </c>
      <c r="J63" s="5">
        <v>140</v>
      </c>
      <c r="K63" s="5">
        <v>140</v>
      </c>
      <c r="L63" s="7">
        <f>I63*$E63/$H63</f>
        <v>70</v>
      </c>
      <c r="M63" s="11">
        <f>IF($H63&lt;&gt;0,$D63*$E63*$F63*J63/$H63,)</f>
        <v>52.5</v>
      </c>
      <c r="N63" s="13">
        <f>IF($B63 = "Ballistic", 1.25*$M63,$M63)</f>
        <v>52.5</v>
      </c>
      <c r="O63" s="13">
        <f>IF($B63 = "Ballistic", $N63*1.5,$N63)</f>
        <v>52.5</v>
      </c>
      <c r="P63" s="7">
        <f>IF($H63&lt;&gt;0,$D63*$E63*$F63*K63/$H63,)</f>
        <v>52.5</v>
      </c>
      <c r="Q63" s="9">
        <f>$D63*$J63*$F63</f>
        <v>105</v>
      </c>
      <c r="R63" s="9">
        <f>$D63*$E63*$F63*$K63</f>
        <v>525</v>
      </c>
      <c r="S63" s="5">
        <v>100</v>
      </c>
      <c r="T63" s="12">
        <v>100</v>
      </c>
      <c r="U63" s="5">
        <f>VLOOKUP(H63,Standard_F_Rates,2)</f>
        <v>4</v>
      </c>
      <c r="V63" s="5">
        <f>MAX(VLOOKUP(R63,Alt_Dmg_Table,2),IF(C63="Medium",VLOOKUP(M63,Medium_Weapon_Damage_Table,2),IF(C63="Small",VLOOKUP(M63,Small_Weapon_Damage_Table,2),IF(C63="Projector",VLOOKUP(M63,Projector_Weapon_Damage_Table,2),VLOOKUP(M63,Large_Weapon_Damage_Table,2)))))</f>
        <v>5</v>
      </c>
      <c r="W63" s="5">
        <f>VLOOKUP(AA63+AB63,Standard_Accuracy_Table,2)</f>
        <v>10</v>
      </c>
      <c r="X63" s="5">
        <f>VLOOKUP(Y63,Standard_Range_Table,2)</f>
        <v>2</v>
      </c>
      <c r="Y63" s="5">
        <v>550</v>
      </c>
      <c r="Z63" s="7">
        <f>$D63*$E63/$H63</f>
        <v>0.5</v>
      </c>
      <c r="AA63" s="5">
        <v>0</v>
      </c>
      <c r="AB63" s="5"/>
    </row>
    <row r="64" spans="1:28" s="2" customFormat="1" x14ac:dyDescent="0.25">
      <c r="A64" s="5" t="s">
        <v>150</v>
      </c>
      <c r="B64" s="5" t="s">
        <v>16</v>
      </c>
      <c r="C64" s="5" t="s">
        <v>55</v>
      </c>
      <c r="D64" s="5">
        <f>IF(LEFT($A64,4) = "Dual",2,IF(LEFT($A64,6) = "Triple",3,1))</f>
        <v>2</v>
      </c>
      <c r="E64" s="5">
        <v>1</v>
      </c>
      <c r="F64" s="6">
        <v>1</v>
      </c>
      <c r="G64" s="5">
        <v>5</v>
      </c>
      <c r="H64" s="7">
        <f>IF(Table12[[#This Row],[Barrels]]&gt;1,Table12[[#This Row],[Recharge]]*1.33333333,Table12[[#This Row],[Recharge]])</f>
        <v>6.6666666500000007</v>
      </c>
      <c r="I64" s="5">
        <v>170</v>
      </c>
      <c r="J64" s="5">
        <v>170</v>
      </c>
      <c r="K64" s="5">
        <v>170</v>
      </c>
      <c r="L64" s="7">
        <f>I64*$E64/$H64</f>
        <v>25.500000063749997</v>
      </c>
      <c r="M64" s="11">
        <f>IF($H64&lt;&gt;0,$D64*$E64*$F64*J64/$H64,)</f>
        <v>51.000000127499995</v>
      </c>
      <c r="N64" s="13">
        <f>IF($B64 = "Ballistic", 1.25*$M64,$M64)</f>
        <v>63.750000159374991</v>
      </c>
      <c r="O64" s="13">
        <f>IF($B64 = "Ballistic", $N64*1.5,$N64)</f>
        <v>95.625000239062487</v>
      </c>
      <c r="P64" s="7">
        <f>IF($H64&lt;&gt;0,$D64*$E64*$F64*K64/$H64,)</f>
        <v>51.000000127499995</v>
      </c>
      <c r="Q64" s="9">
        <f>$D64*$J64*$F64</f>
        <v>340</v>
      </c>
      <c r="R64" s="9">
        <f>$D64*$E64*$F64*$K64</f>
        <v>340</v>
      </c>
      <c r="S64" s="5">
        <v>85</v>
      </c>
      <c r="T64" s="12">
        <v>120</v>
      </c>
      <c r="U64" s="5">
        <f>VLOOKUP(H64,Standard_F_Rates,2)</f>
        <v>6</v>
      </c>
      <c r="V64" s="5">
        <f>MAX(VLOOKUP(R64,Alt_Dmg_Table,2),IF(C64="Medium",VLOOKUP(M64,Medium_Weapon_Damage_Table,2),IF(C64="Small",VLOOKUP(M64,Small_Weapon_Damage_Table,2),IF(C64="Projector",VLOOKUP(M64,Projector_Weapon_Damage_Table,2),VLOOKUP(M64,Large_Weapon_Damage_Table,2)))))</f>
        <v>5</v>
      </c>
      <c r="W64" s="5">
        <f>VLOOKUP(AA64+AB64,Standard_Accuracy_Table,2)</f>
        <v>3</v>
      </c>
      <c r="X64" s="5">
        <f>VLOOKUP(Y64,Standard_Range_Table,2)</f>
        <v>5</v>
      </c>
      <c r="Y64" s="5">
        <v>1200</v>
      </c>
      <c r="Z64" s="7">
        <f>$D64*$E64/$H64</f>
        <v>0.30000000075</v>
      </c>
      <c r="AA64" s="5">
        <v>4</v>
      </c>
      <c r="AB64" s="5"/>
    </row>
    <row r="65" spans="1:28" s="2" customFormat="1" x14ac:dyDescent="0.25">
      <c r="A65" s="5" t="s">
        <v>149</v>
      </c>
      <c r="B65" s="5" t="s">
        <v>84</v>
      </c>
      <c r="C65" s="5" t="s">
        <v>55</v>
      </c>
      <c r="D65" s="5">
        <f>IF(LEFT($A65,4) = "Dual",2,IF(LEFT($A65,6) = "Triple",3,1))</f>
        <v>2</v>
      </c>
      <c r="E65" s="5">
        <v>1</v>
      </c>
      <c r="F65" s="6">
        <v>1</v>
      </c>
      <c r="G65" s="5">
        <v>6</v>
      </c>
      <c r="H65" s="7">
        <f>IF(Table12[[#This Row],[Barrels]]&gt;1,Table12[[#This Row],[Recharge]]*1.33333333,Table12[[#This Row],[Recharge]])</f>
        <v>7.9999999800000001</v>
      </c>
      <c r="I65" s="5">
        <v>120</v>
      </c>
      <c r="J65" s="5">
        <v>200</v>
      </c>
      <c r="K65" s="5">
        <v>120</v>
      </c>
      <c r="L65" s="7">
        <f>I65*$E65/$H65</f>
        <v>15.0000000375</v>
      </c>
      <c r="M65" s="11">
        <f>IF($H65&lt;&gt;0,$D65*$E65*$F65*J65/$H65,)</f>
        <v>50.000000125</v>
      </c>
      <c r="N65" s="13">
        <f>IF($B65 = "Ballistic", 1.25*$M65,$M65)</f>
        <v>50.000000125</v>
      </c>
      <c r="O65" s="13">
        <f>IF($B65 = "Ballistic", $N65*1.5,$N65)</f>
        <v>50.000000125</v>
      </c>
      <c r="P65" s="7">
        <f>IF($H65&lt;&gt;0,$D65*$E65*$F65*K65/$H65,)</f>
        <v>30.000000074999999</v>
      </c>
      <c r="Q65" s="9">
        <f>$D65*$J65*$F65</f>
        <v>400</v>
      </c>
      <c r="R65" s="9">
        <f>$D65*$E65*$F65*$K65</f>
        <v>240</v>
      </c>
      <c r="S65" s="5">
        <v>120</v>
      </c>
      <c r="T65" s="12">
        <v>160</v>
      </c>
      <c r="U65" s="5">
        <f>VLOOKUP(H65,Standard_F_Rates,2)</f>
        <v>5</v>
      </c>
      <c r="V65" s="5">
        <f>MAX(VLOOKUP(R65,Alt_Dmg_Table,2),IF(C65="Medium",VLOOKUP(M65,Medium_Weapon_Damage_Table,2),IF(C65="Small",VLOOKUP(M65,Small_Weapon_Damage_Table,2),IF(C65="Projector",VLOOKUP(M65,Projector_Weapon_Damage_Table,2),VLOOKUP(M65,Large_Weapon_Damage_Table,2)))))</f>
        <v>5</v>
      </c>
      <c r="W65" s="5">
        <f>VLOOKUP(AA65+AB65,Standard_Accuracy_Table,2)</f>
        <v>3</v>
      </c>
      <c r="X65" s="5">
        <f>VLOOKUP(Y65,Standard_Range_Table,2)</f>
        <v>7</v>
      </c>
      <c r="Y65" s="5">
        <v>1500</v>
      </c>
      <c r="Z65" s="7">
        <f>$D65*$E65/$H65</f>
        <v>0.250000000625</v>
      </c>
      <c r="AA65" s="5">
        <v>4</v>
      </c>
      <c r="AB65" s="5"/>
    </row>
    <row r="66" spans="1:28" s="2" customFormat="1" x14ac:dyDescent="0.25">
      <c r="A66" s="5" t="s">
        <v>36</v>
      </c>
      <c r="B66" s="5" t="s">
        <v>19</v>
      </c>
      <c r="C66" s="5" t="s">
        <v>72</v>
      </c>
      <c r="D66" s="5">
        <f>IF(LEFT($A66,4) = "Dual",2,IF(LEFT($A66,6) = "Triple",3,1))</f>
        <v>1</v>
      </c>
      <c r="E66" s="5">
        <v>1</v>
      </c>
      <c r="F66" s="6">
        <v>2</v>
      </c>
      <c r="G66" s="5">
        <v>10</v>
      </c>
      <c r="H66" s="7">
        <f>IF(Table12[[#This Row],[Barrels]]&gt;1,Table12[[#This Row],[Recharge]]*1.33333333,Table12[[#This Row],[Recharge]])</f>
        <v>10</v>
      </c>
      <c r="I66" s="5">
        <v>250</v>
      </c>
      <c r="J66" s="5">
        <v>250</v>
      </c>
      <c r="K66" s="5">
        <v>250</v>
      </c>
      <c r="L66" s="7">
        <f>I66*$E66/$H66</f>
        <v>25</v>
      </c>
      <c r="M66" s="11">
        <f>IF($H66&lt;&gt;0,$D66*$E66*$F66*J66/$H66,)</f>
        <v>50</v>
      </c>
      <c r="N66" s="13">
        <f>IF($B66 = "Ballistic", 1.25*$M66,$M66)</f>
        <v>50</v>
      </c>
      <c r="O66" s="13">
        <f>IF($B66 = "Ballistic", $N66*1.5,$N66)</f>
        <v>50</v>
      </c>
      <c r="P66" s="7">
        <f>IF($H66&lt;&gt;0,$D66*$E66*$F66*K66/$H66,)</f>
        <v>50</v>
      </c>
      <c r="Q66" s="9">
        <f>$D66*$J66*$F66</f>
        <v>500</v>
      </c>
      <c r="R66" s="9">
        <f>$D66*$E66*$F66*$K66</f>
        <v>500</v>
      </c>
      <c r="S66" s="5">
        <v>300</v>
      </c>
      <c r="T66" s="12">
        <v>120</v>
      </c>
      <c r="U66" s="5">
        <f>VLOOKUP(H66,Standard_F_Rates,2)</f>
        <v>4</v>
      </c>
      <c r="V66" s="5">
        <f>MAX(VLOOKUP(R66,Alt_Dmg_Table,2),IF(C66="Medium",VLOOKUP(M66,Medium_Weapon_Damage_Table,2),IF(C66="Small",VLOOKUP(M66,Small_Weapon_Damage_Table,2),IF(C66="Projector",VLOOKUP(M66,Projector_Weapon_Damage_Table,2),VLOOKUP(M66,Large_Weapon_Damage_Table,2)))))</f>
        <v>5</v>
      </c>
      <c r="W66" s="5">
        <f>VLOOKUP(AA66+AB66,Standard_Accuracy_Table,2)</f>
        <v>10</v>
      </c>
      <c r="X66" s="5">
        <f>VLOOKUP(Y66,Standard_Range_Table,2)</f>
        <v>5</v>
      </c>
      <c r="Y66" s="5">
        <v>1250</v>
      </c>
      <c r="Z66" s="7">
        <f>$D66*$E66/$H66</f>
        <v>0.1</v>
      </c>
      <c r="AA66" s="5">
        <v>0</v>
      </c>
      <c r="AB66" s="5"/>
    </row>
    <row r="67" spans="1:28" s="2" customFormat="1" x14ac:dyDescent="0.25">
      <c r="A67" s="5" t="s">
        <v>79</v>
      </c>
      <c r="B67" s="5" t="s">
        <v>19</v>
      </c>
      <c r="C67" s="5" t="s">
        <v>65</v>
      </c>
      <c r="D67" s="5">
        <f>IF(LEFT($A67,4) = "Dual",2,IF(LEFT($A67,6) = "Triple",3,1))</f>
        <v>1</v>
      </c>
      <c r="E67" s="5">
        <v>1</v>
      </c>
      <c r="F67" s="6">
        <v>2</v>
      </c>
      <c r="G67" s="5">
        <v>10</v>
      </c>
      <c r="H67" s="7">
        <f>IF(Table12[[#This Row],[Barrels]]&gt;1,Table12[[#This Row],[Recharge]]*1.33333333,Table12[[#This Row],[Recharge]])</f>
        <v>10</v>
      </c>
      <c r="I67" s="5">
        <v>250</v>
      </c>
      <c r="J67" s="5">
        <v>250</v>
      </c>
      <c r="K67" s="5">
        <v>250</v>
      </c>
      <c r="L67" s="7">
        <f>I67*$E67/$H67</f>
        <v>25</v>
      </c>
      <c r="M67" s="11">
        <f>IF($H67&lt;&gt;0,$D67*$E67*$F67*J67/$H67,)</f>
        <v>50</v>
      </c>
      <c r="N67" s="13">
        <f>IF($B67 = "Ballistic", 1.25*$M67,$M67)</f>
        <v>50</v>
      </c>
      <c r="O67" s="13">
        <f>IF($B67 = "Ballistic", $N67*1.5,$N67)</f>
        <v>50</v>
      </c>
      <c r="P67" s="7">
        <f>IF($H67&lt;&gt;0,$D67*$E67*$F67*K67/$H67,)</f>
        <v>50</v>
      </c>
      <c r="Q67" s="9">
        <f>$D67*$J67*$F67</f>
        <v>500</v>
      </c>
      <c r="R67" s="9">
        <f>$D67*$E67*$F67*$K67</f>
        <v>500</v>
      </c>
      <c r="S67" s="5"/>
      <c r="T67" s="12">
        <v>120</v>
      </c>
      <c r="U67" s="5">
        <f>VLOOKUP(H67,Standard_F_Rates,2)</f>
        <v>4</v>
      </c>
      <c r="V67" s="5">
        <f>MAX(VLOOKUP(R67,Alt_Dmg_Table,2),IF(C67="Medium",VLOOKUP(M67,Medium_Weapon_Damage_Table,2),IF(C67="Small",VLOOKUP(M67,Small_Weapon_Damage_Table,2),IF(C67="Projector",VLOOKUP(M67,Projector_Weapon_Damage_Table,2),VLOOKUP(M67,Large_Weapon_Damage_Table,2)))))</f>
        <v>5</v>
      </c>
      <c r="W67" s="5">
        <f>VLOOKUP(AA67+AB67,Standard_Accuracy_Table,2)</f>
        <v>5</v>
      </c>
      <c r="X67" s="5">
        <f>VLOOKUP(Y67,Standard_Range_Table,2)</f>
        <v>5</v>
      </c>
      <c r="Y67" s="5">
        <v>1250</v>
      </c>
      <c r="Z67" s="7">
        <f>$D67*$E67/$H67</f>
        <v>0.1</v>
      </c>
      <c r="AA67" s="5">
        <v>2</v>
      </c>
      <c r="AB67" s="5"/>
    </row>
    <row r="68" spans="1:28" s="2" customFormat="1" x14ac:dyDescent="0.25">
      <c r="A68" s="5" t="s">
        <v>83</v>
      </c>
      <c r="B68" s="5" t="s">
        <v>84</v>
      </c>
      <c r="C68" s="5" t="s">
        <v>55</v>
      </c>
      <c r="D68" s="5">
        <f>IF(LEFT($A68,4) = "Dual",2,IF(LEFT($A68,6) = "Triple",3,1))</f>
        <v>1</v>
      </c>
      <c r="E68" s="5">
        <v>1</v>
      </c>
      <c r="F68" s="6">
        <v>1</v>
      </c>
      <c r="G68" s="5">
        <v>6</v>
      </c>
      <c r="H68" s="7">
        <f>IF(Table12[[#This Row],[Barrels]]&gt;1,Table12[[#This Row],[Recharge]]*1.33333333,Table12[[#This Row],[Recharge]])</f>
        <v>6</v>
      </c>
      <c r="I68" s="5">
        <v>200</v>
      </c>
      <c r="J68" s="5">
        <v>280</v>
      </c>
      <c r="K68" s="5">
        <v>200</v>
      </c>
      <c r="L68" s="7">
        <f>I68*$E68/$H68</f>
        <v>33.333333333333336</v>
      </c>
      <c r="M68" s="11">
        <f>IF($H68&lt;&gt;0,$D68*$E68*$F68*J68/$H68,)</f>
        <v>46.666666666666664</v>
      </c>
      <c r="N68" s="13">
        <f>IF($B68 = "Ballistic", 1.25*$M68,$M68)</f>
        <v>46.666666666666664</v>
      </c>
      <c r="O68" s="13">
        <f>IF($B68 = "Ballistic", $N68*1.5,$N68)</f>
        <v>46.666666666666664</v>
      </c>
      <c r="P68" s="7">
        <f>IF($H68&lt;&gt;0,$D68*$E68*$F68*K68/$H68,)</f>
        <v>33.333333333333336</v>
      </c>
      <c r="Q68" s="9">
        <f>$D68*$J68*$F68</f>
        <v>280</v>
      </c>
      <c r="R68" s="9">
        <f>$D68*$E68*$F68*$K68</f>
        <v>200</v>
      </c>
      <c r="S68" s="5">
        <v>550</v>
      </c>
      <c r="T68" s="12">
        <v>120</v>
      </c>
      <c r="U68" s="5">
        <f>VLOOKUP(H68,Standard_F_Rates,2)</f>
        <v>7</v>
      </c>
      <c r="V68" s="5">
        <f>MAX(VLOOKUP(R68,Alt_Dmg_Table,2),IF(C68="Medium",VLOOKUP(M68,Medium_Weapon_Damage_Table,2),IF(C68="Small",VLOOKUP(M68,Small_Weapon_Damage_Table,2),IF(C68="Projector",VLOOKUP(M68,Projector_Weapon_Damage_Table,2),VLOOKUP(M68,Large_Weapon_Damage_Table,2)))))</f>
        <v>5</v>
      </c>
      <c r="W68" s="5">
        <f>VLOOKUP(AA68+AB68,Standard_Accuracy_Table,2)</f>
        <v>3</v>
      </c>
      <c r="X68" s="5">
        <f>VLOOKUP(Y68,Standard_Range_Table,2)</f>
        <v>8</v>
      </c>
      <c r="Y68" s="5">
        <v>2000</v>
      </c>
      <c r="Z68" s="7">
        <f>$D68*$E68/$H68</f>
        <v>0.16666666666666666</v>
      </c>
      <c r="AA68" s="5">
        <v>4</v>
      </c>
      <c r="AB68" s="5"/>
    </row>
    <row r="69" spans="1:28" s="2" customFormat="1" x14ac:dyDescent="0.25">
      <c r="A69" s="5" t="s">
        <v>114</v>
      </c>
      <c r="B69" s="5" t="s">
        <v>111</v>
      </c>
      <c r="C69" s="5" t="s">
        <v>19</v>
      </c>
      <c r="D69" s="5">
        <f>IF(LEFT($A69,4) = "Dual",2,IF(LEFT($A69,6) = "Triple",3,1))</f>
        <v>1</v>
      </c>
      <c r="E69" s="5">
        <v>1</v>
      </c>
      <c r="F69" s="6">
        <v>2.5</v>
      </c>
      <c r="G69" s="5">
        <v>22</v>
      </c>
      <c r="H69" s="7">
        <f>IF(Table12[[#This Row],[Barrels]]&gt;1,Table12[[#This Row],[Recharge]]*1.33333333,Table12[[#This Row],[Recharge]])</f>
        <v>22</v>
      </c>
      <c r="I69" s="5">
        <v>400</v>
      </c>
      <c r="J69" s="5">
        <v>400</v>
      </c>
      <c r="K69" s="5">
        <v>400</v>
      </c>
      <c r="L69" s="7">
        <f>I69*$E69/$H69</f>
        <v>18.181818181818183</v>
      </c>
      <c r="M69" s="11">
        <f>IF($H69&lt;&gt;0,$D69*$E69*$F69*J69/$H69,)</f>
        <v>45.454545454545453</v>
      </c>
      <c r="N69" s="13">
        <f>IF($B69 = "Ballistic", 1.25*$M69,$M69)</f>
        <v>45.454545454545453</v>
      </c>
      <c r="O69" s="13">
        <f>IF($B69 = "Ballistic", $N69*1.5,$N69)</f>
        <v>45.454545454545453</v>
      </c>
      <c r="P69" s="7">
        <f>IF($H69&lt;&gt;0,$D69*$E69*$F69*K69/$H69,)</f>
        <v>45.454545454545453</v>
      </c>
      <c r="Q69" s="9">
        <f>$D69*$J69*$F69</f>
        <v>1000</v>
      </c>
      <c r="R69" s="9">
        <f>$D69*$E69*$F69*$K69</f>
        <v>1000</v>
      </c>
      <c r="S69" s="5">
        <v>500</v>
      </c>
      <c r="T69" s="12">
        <v>160</v>
      </c>
      <c r="U69" s="5">
        <f>VLOOKUP(H69,Standard_F_Rates,2)</f>
        <v>1</v>
      </c>
      <c r="V69" s="5">
        <f>MAX(VLOOKUP(R69,Alt_Dmg_Table,2),IF(C69="Medium",VLOOKUP(M69,Medium_Weapon_Damage_Table,2),IF(C69="Small",VLOOKUP(M69,Small_Weapon_Damage_Table,2),IF(C69="Projector",VLOOKUP(M69,Projector_Weapon_Damage_Table,2),VLOOKUP(M69,Large_Weapon_Damage_Table,2)))))</f>
        <v>7</v>
      </c>
      <c r="W69" s="5">
        <f>VLOOKUP(AA69+AB69,Standard_Accuracy_Table,2)</f>
        <v>5</v>
      </c>
      <c r="X69" s="5">
        <f>VLOOKUP(Y69,Standard_Range_Table,2)</f>
        <v>7</v>
      </c>
      <c r="Y69" s="5">
        <v>1500</v>
      </c>
      <c r="Z69" s="7">
        <f>$D69*$E69/$H69</f>
        <v>4.5454545454545456E-2</v>
      </c>
      <c r="AA69" s="5">
        <v>2</v>
      </c>
      <c r="AB69" s="5"/>
    </row>
    <row r="70" spans="1:28" s="2" customFormat="1" x14ac:dyDescent="0.25">
      <c r="A70" s="5" t="s">
        <v>115</v>
      </c>
      <c r="B70" s="5" t="s">
        <v>111</v>
      </c>
      <c r="C70" s="5" t="s">
        <v>65</v>
      </c>
      <c r="D70" s="5">
        <f>IF(LEFT($A70,4) = "Dual",2,IF(LEFT($A70,6) = "Triple",3,1))</f>
        <v>1</v>
      </c>
      <c r="E70" s="5">
        <v>1</v>
      </c>
      <c r="F70" s="6">
        <v>2.5</v>
      </c>
      <c r="G70" s="5">
        <v>22</v>
      </c>
      <c r="H70" s="7">
        <f>IF(Table12[[#This Row],[Barrels]]&gt;1,Table12[[#This Row],[Recharge]]*1.33333333,Table12[[#This Row],[Recharge]])</f>
        <v>22</v>
      </c>
      <c r="I70" s="5">
        <v>400</v>
      </c>
      <c r="J70" s="5">
        <v>400</v>
      </c>
      <c r="K70" s="5">
        <v>400</v>
      </c>
      <c r="L70" s="7">
        <f>I70*$E70/$H70</f>
        <v>18.181818181818183</v>
      </c>
      <c r="M70" s="11">
        <f>IF($H70&lt;&gt;0,$D70*$E70*$F70*J70/$H70,)</f>
        <v>45.454545454545453</v>
      </c>
      <c r="N70" s="13">
        <f>IF($B70 = "Ballistic", 1.25*$M70,$M70)</f>
        <v>45.454545454545453</v>
      </c>
      <c r="O70" s="13">
        <f>IF($B70 = "Ballistic", $N70*1.5,$N70)</f>
        <v>45.454545454545453</v>
      </c>
      <c r="P70" s="7">
        <f>IF($H70&lt;&gt;0,$D70*$E70*$F70*K70/$H70,)</f>
        <v>45.454545454545453</v>
      </c>
      <c r="Q70" s="9">
        <f>$D70*$J70*$F70</f>
        <v>1000</v>
      </c>
      <c r="R70" s="9">
        <f>$D70*$E70*$F70*$K70</f>
        <v>1000</v>
      </c>
      <c r="S70" s="5"/>
      <c r="T70" s="12">
        <v>160</v>
      </c>
      <c r="U70" s="5">
        <f>VLOOKUP(H70,Standard_F_Rates,2)</f>
        <v>1</v>
      </c>
      <c r="V70" s="5">
        <f>MAX(VLOOKUP(R70,Alt_Dmg_Table,2),IF(C70="Medium",VLOOKUP(M70,Medium_Weapon_Damage_Table,2),IF(C70="Small",VLOOKUP(M70,Small_Weapon_Damage_Table,2),IF(C70="Projector",VLOOKUP(M70,Projector_Weapon_Damage_Table,2),VLOOKUP(M70,Large_Weapon_Damage_Table,2)))))</f>
        <v>7</v>
      </c>
      <c r="W70" s="5">
        <f>VLOOKUP(AA70+AB70,Standard_Accuracy_Table,2)</f>
        <v>5</v>
      </c>
      <c r="X70" s="5">
        <f>VLOOKUP(Y70,Standard_Range_Table,2)</f>
        <v>7</v>
      </c>
      <c r="Y70" s="5">
        <v>1500</v>
      </c>
      <c r="Z70" s="7">
        <f>$D70*$E70/$H70</f>
        <v>4.5454545454545456E-2</v>
      </c>
      <c r="AA70" s="5">
        <v>2</v>
      </c>
      <c r="AB70" s="5"/>
    </row>
    <row r="71" spans="1:28" s="2" customFormat="1" x14ac:dyDescent="0.25">
      <c r="A71" s="5" t="s">
        <v>151</v>
      </c>
      <c r="B71" s="5" t="s">
        <v>84</v>
      </c>
      <c r="C71" s="5" t="s">
        <v>55</v>
      </c>
      <c r="D71" s="5">
        <f>IF(LEFT($A71,4) = "Dual",2,IF(LEFT($A71,6) = "Triple",3,1))</f>
        <v>2</v>
      </c>
      <c r="E71" s="5">
        <v>1</v>
      </c>
      <c r="F71" s="6">
        <v>1</v>
      </c>
      <c r="G71" s="5">
        <v>6</v>
      </c>
      <c r="H71" s="7">
        <f>IF(Table12[[#This Row],[Barrels]]&gt;1,Table12[[#This Row],[Recharge]]*1.33333333,Table12[[#This Row],[Recharge]])</f>
        <v>7.9999999800000001</v>
      </c>
      <c r="I71" s="5">
        <v>100</v>
      </c>
      <c r="J71" s="5">
        <v>180</v>
      </c>
      <c r="K71" s="5">
        <v>100</v>
      </c>
      <c r="L71" s="7">
        <f>I71*$E71/$H71</f>
        <v>12.50000003125</v>
      </c>
      <c r="M71" s="11">
        <f>IF($H71&lt;&gt;0,$D71*$E71*$F71*J71/$H71,)</f>
        <v>45.000000112499997</v>
      </c>
      <c r="N71" s="13">
        <f>IF($B71 = "Ballistic", 1.25*$M71,$M71)</f>
        <v>45.000000112499997</v>
      </c>
      <c r="O71" s="13">
        <f>IF($B71 = "Ballistic", $N71*1.5,$N71)</f>
        <v>45.000000112499997</v>
      </c>
      <c r="P71" s="7">
        <f>IF($H71&lt;&gt;0,$D71*$E71*$F71*K71/$H71,)</f>
        <v>25.0000000625</v>
      </c>
      <c r="Q71" s="9">
        <f>$D71*$J71*$F71</f>
        <v>360</v>
      </c>
      <c r="R71" s="9">
        <f>$D71*$E71*$F71*$K71</f>
        <v>200</v>
      </c>
      <c r="S71" s="5">
        <v>100</v>
      </c>
      <c r="T71" s="12">
        <v>120</v>
      </c>
      <c r="U71" s="5">
        <f>VLOOKUP(H71,Standard_F_Rates,2)</f>
        <v>5</v>
      </c>
      <c r="V71" s="5">
        <f>MAX(VLOOKUP(R71,Alt_Dmg_Table,2),IF(C71="Medium",VLOOKUP(M71,Medium_Weapon_Damage_Table,2),IF(C71="Small",VLOOKUP(M71,Small_Weapon_Damage_Table,2),IF(C71="Projector",VLOOKUP(M71,Projector_Weapon_Damage_Table,2),VLOOKUP(M71,Large_Weapon_Damage_Table,2)))))</f>
        <v>5</v>
      </c>
      <c r="W71" s="5">
        <f>VLOOKUP(AA71+AB71,Standard_Accuracy_Table,2)</f>
        <v>3</v>
      </c>
      <c r="X71" s="5">
        <f>VLOOKUP(Y71,Standard_Range_Table,2)</f>
        <v>4</v>
      </c>
      <c r="Y71" s="5">
        <v>1000</v>
      </c>
      <c r="Z71" s="7">
        <f>$D71*$E71/$H71</f>
        <v>0.250000000625</v>
      </c>
      <c r="AA71" s="5">
        <v>4</v>
      </c>
      <c r="AB71" s="5"/>
    </row>
    <row r="72" spans="1:28" s="2" customFormat="1" x14ac:dyDescent="0.25">
      <c r="A72" s="5" t="s">
        <v>153</v>
      </c>
      <c r="B72" s="5" t="s">
        <v>163</v>
      </c>
      <c r="C72" s="5" t="s">
        <v>55</v>
      </c>
      <c r="D72" s="5">
        <f>IF(LEFT($A72,4) = "Dual",2,IF(LEFT($A72,6) = "Triple",3,1))</f>
        <v>2</v>
      </c>
      <c r="E72" s="5">
        <v>1</v>
      </c>
      <c r="F72" s="6">
        <v>1</v>
      </c>
      <c r="G72" s="5">
        <v>1</v>
      </c>
      <c r="H72" s="7">
        <f>IF(Table12[[#This Row],[Barrels]]&gt;1,Table12[[#This Row],[Recharge]]*1.33333333,Table12[[#This Row],[Recharge]])</f>
        <v>1.3333333300000001</v>
      </c>
      <c r="I72" s="5">
        <v>30</v>
      </c>
      <c r="J72" s="5">
        <v>30</v>
      </c>
      <c r="K72" s="5">
        <v>30</v>
      </c>
      <c r="L72" s="7">
        <f>I72*$E72/$H72</f>
        <v>22.500000056249998</v>
      </c>
      <c r="M72" s="11">
        <f>IF($H72&lt;&gt;0,$D72*$E72*$F72*J72/$H72,)</f>
        <v>45.000000112499997</v>
      </c>
      <c r="N72" s="13">
        <f>IF($B72 = "Ballistic", 1.25*$M72,$M72)</f>
        <v>45.000000112499997</v>
      </c>
      <c r="O72" s="13">
        <f>IF($B72 = "Ballistic", $N72*1.5,$N72)</f>
        <v>45.000000112499997</v>
      </c>
      <c r="P72" s="7">
        <f>IF($H72&lt;&gt;0,$D72*$E72*$F72*K72/$H72,)</f>
        <v>45.000000112499997</v>
      </c>
      <c r="Q72" s="9">
        <f>$D72*$J72*$F72</f>
        <v>60</v>
      </c>
      <c r="R72" s="9">
        <f>$D72*$E72*$F72*$K72</f>
        <v>60</v>
      </c>
      <c r="S72" s="5"/>
      <c r="T72" s="12">
        <v>120</v>
      </c>
      <c r="U72" s="5">
        <f>VLOOKUP(H72,Standard_F_Rates,2)</f>
        <v>9</v>
      </c>
      <c r="V72" s="5">
        <f>MAX(VLOOKUP(R72,Alt_Dmg_Table,2),IF(C72="Medium",VLOOKUP(M72,Medium_Weapon_Damage_Table,2),IF(C72="Small",VLOOKUP(M72,Small_Weapon_Damage_Table,2),IF(C72="Projector",VLOOKUP(M72,Projector_Weapon_Damage_Table,2),VLOOKUP(M72,Large_Weapon_Damage_Table,2)))))</f>
        <v>5</v>
      </c>
      <c r="W72" s="5">
        <f>VLOOKUP(AA72+AB72,Standard_Accuracy_Table,2)</f>
        <v>7</v>
      </c>
      <c r="X72" s="5">
        <f>VLOOKUP(Y72,Standard_Range_Table,2)</f>
        <v>3</v>
      </c>
      <c r="Y72" s="5">
        <v>750</v>
      </c>
      <c r="Z72" s="7">
        <f>$D72*$E72/$H72</f>
        <v>1.5000000037499999</v>
      </c>
      <c r="AA72" s="5">
        <v>1</v>
      </c>
      <c r="AB72" s="5">
        <v>0.25</v>
      </c>
    </row>
    <row r="73" spans="1:28" s="2" customFormat="1" x14ac:dyDescent="0.25">
      <c r="A73" s="5" t="s">
        <v>14</v>
      </c>
      <c r="B73" s="5" t="s">
        <v>67</v>
      </c>
      <c r="C73" s="5" t="s">
        <v>55</v>
      </c>
      <c r="D73" s="5">
        <f>IF(LEFT($A73,4) = "Dual",2,IF(LEFT($A73,6) = "Triple",3,1))</f>
        <v>1</v>
      </c>
      <c r="E73" s="5">
        <v>3</v>
      </c>
      <c r="F73" s="6">
        <v>1</v>
      </c>
      <c r="G73" s="5">
        <v>6</v>
      </c>
      <c r="H73" s="7">
        <f>IF(Table12[[#This Row],[Barrels]]&gt;1,Table12[[#This Row],[Recharge]]*1.33333333,Table12[[#This Row],[Recharge]])</f>
        <v>6</v>
      </c>
      <c r="I73" s="5">
        <v>100</v>
      </c>
      <c r="J73" s="5">
        <v>90</v>
      </c>
      <c r="K73" s="5">
        <v>70</v>
      </c>
      <c r="L73" s="7">
        <f>I73*$E73/$H73</f>
        <v>50</v>
      </c>
      <c r="M73" s="11">
        <f>IF($H73&lt;&gt;0,$D73*$E73*$F73*J73/$H73,)</f>
        <v>45</v>
      </c>
      <c r="N73" s="13">
        <f>IF($B73 = "Ballistic", 1.25*$M73,$M73)</f>
        <v>45</v>
      </c>
      <c r="O73" s="13">
        <f>IF($B73 = "Ballistic", $N73*1.5,$N73)</f>
        <v>45</v>
      </c>
      <c r="P73" s="7">
        <f>IF($H73&lt;&gt;0,$D73*$E73*$F73*K73/$H73,)</f>
        <v>35</v>
      </c>
      <c r="Q73" s="9">
        <f>$D73*$J73*$F73</f>
        <v>90</v>
      </c>
      <c r="R73" s="9">
        <f>$D73*$E73*$F73*$K73</f>
        <v>210</v>
      </c>
      <c r="S73" s="5"/>
      <c r="T73" s="12">
        <v>90</v>
      </c>
      <c r="U73" s="5">
        <f>VLOOKUP(H73,Standard_F_Rates,2)</f>
        <v>7</v>
      </c>
      <c r="V73" s="5">
        <f>MAX(VLOOKUP(R73,Alt_Dmg_Table,2),IF(C73="Medium",VLOOKUP(M73,Medium_Weapon_Damage_Table,2),IF(C73="Small",VLOOKUP(M73,Small_Weapon_Damage_Table,2),IF(C73="Projector",VLOOKUP(M73,Projector_Weapon_Damage_Table,2),VLOOKUP(M73,Large_Weapon_Damage_Table,2)))))</f>
        <v>5</v>
      </c>
      <c r="W73" s="5">
        <f>VLOOKUP(AA73+AB73,Standard_Accuracy_Table,2)</f>
        <v>8</v>
      </c>
      <c r="X73" s="5">
        <f>VLOOKUP(Y73,Standard_Range_Table,2)</f>
        <v>10</v>
      </c>
      <c r="Y73" s="5">
        <v>3000</v>
      </c>
      <c r="Z73" s="7">
        <f>$D73*$E73/$H73</f>
        <v>0.5</v>
      </c>
      <c r="AA73" s="5">
        <v>0.5</v>
      </c>
      <c r="AB73" s="5"/>
    </row>
    <row r="74" spans="1:28" s="2" customFormat="1" x14ac:dyDescent="0.25">
      <c r="A74" s="5" t="s">
        <v>48</v>
      </c>
      <c r="B74" s="5" t="s">
        <v>46</v>
      </c>
      <c r="C74" s="5" t="s">
        <v>72</v>
      </c>
      <c r="D74" s="5">
        <f>IF(LEFT($A74,4) = "Dual",2,IF(LEFT($A74,6) = "Triple",3,1))</f>
        <v>1</v>
      </c>
      <c r="E74" s="5">
        <v>3</v>
      </c>
      <c r="F74" s="6">
        <v>1</v>
      </c>
      <c r="G74" s="5">
        <v>4</v>
      </c>
      <c r="H74" s="7">
        <f>IF(Table12[[#This Row],[Barrels]]&gt;1,Table12[[#This Row],[Recharge]]*1.33333333,Table12[[#This Row],[Recharge]])</f>
        <v>4</v>
      </c>
      <c r="I74" s="5">
        <v>75</v>
      </c>
      <c r="J74" s="5">
        <v>60</v>
      </c>
      <c r="K74" s="5">
        <v>35</v>
      </c>
      <c r="L74" s="7">
        <f>I74*$E74/$H74</f>
        <v>56.25</v>
      </c>
      <c r="M74" s="11">
        <f>IF($H74&lt;&gt;0,$D74*$E74*$F74*J74/$H74,)</f>
        <v>45</v>
      </c>
      <c r="N74" s="13">
        <f>IF($B74 = "Ballistic", 1.25*$M74,$M74)</f>
        <v>45</v>
      </c>
      <c r="O74" s="13">
        <f>IF($B74 = "Ballistic", $N74*1.5,$N74)</f>
        <v>45</v>
      </c>
      <c r="P74" s="7">
        <f>IF($H74&lt;&gt;0,$D74*$E74*$F74*K74/$H74,)</f>
        <v>26.25</v>
      </c>
      <c r="Q74" s="9">
        <f>$D74*$J74*$F74</f>
        <v>60</v>
      </c>
      <c r="R74" s="9">
        <f>$D74*$E74*$F74*$K74</f>
        <v>105</v>
      </c>
      <c r="S74" s="5">
        <v>250</v>
      </c>
      <c r="T74" s="12">
        <v>140</v>
      </c>
      <c r="U74" s="5">
        <f>VLOOKUP(H74,Standard_F_Rates,2)</f>
        <v>8</v>
      </c>
      <c r="V74" s="5">
        <f>MAX(VLOOKUP(R74,Alt_Dmg_Table,2),IF(C74="Medium",VLOOKUP(M74,Medium_Weapon_Damage_Table,2),IF(C74="Small",VLOOKUP(M74,Small_Weapon_Damage_Table,2),IF(C74="Projector",VLOOKUP(M74,Projector_Weapon_Damage_Table,2),VLOOKUP(M74,Large_Weapon_Damage_Table,2)))))</f>
        <v>2</v>
      </c>
      <c r="W74" s="5">
        <f>VLOOKUP(AA74+AB74,Standard_Accuracy_Table,2)</f>
        <v>6</v>
      </c>
      <c r="X74" s="5">
        <f>VLOOKUP(Y74,Standard_Range_Table,2)</f>
        <v>9</v>
      </c>
      <c r="Y74" s="5">
        <v>2500</v>
      </c>
      <c r="Z74" s="7">
        <f>$D74*$E74/$H74</f>
        <v>0.75</v>
      </c>
      <c r="AA74" s="5">
        <v>1.5</v>
      </c>
      <c r="AB74" s="5"/>
    </row>
    <row r="75" spans="1:28" s="2" customFormat="1" x14ac:dyDescent="0.25">
      <c r="A75" s="5" t="s">
        <v>48</v>
      </c>
      <c r="B75" s="5" t="s">
        <v>46</v>
      </c>
      <c r="C75" s="5" t="s">
        <v>65</v>
      </c>
      <c r="D75" s="5">
        <f>IF(LEFT($A75,4) = "Dual",2,IF(LEFT($A75,6) = "Triple",3,1))</f>
        <v>1</v>
      </c>
      <c r="E75" s="5">
        <v>3</v>
      </c>
      <c r="F75" s="6">
        <v>1</v>
      </c>
      <c r="G75" s="5">
        <v>4</v>
      </c>
      <c r="H75" s="7">
        <f>IF(Table12[[#This Row],[Barrels]]&gt;1,Table12[[#This Row],[Recharge]]*1.33333333,Table12[[#This Row],[Recharge]])</f>
        <v>4</v>
      </c>
      <c r="I75" s="5">
        <v>75</v>
      </c>
      <c r="J75" s="5">
        <v>60</v>
      </c>
      <c r="K75" s="5">
        <v>35</v>
      </c>
      <c r="L75" s="7">
        <f>I75*$E75/$H75</f>
        <v>56.25</v>
      </c>
      <c r="M75" s="11">
        <f>IF($H75&lt;&gt;0,$D75*$E75*$F75*J75/$H75,)</f>
        <v>45</v>
      </c>
      <c r="N75" s="13">
        <f>IF($B75 = "Ballistic", 1.25*$M75,$M75)</f>
        <v>45</v>
      </c>
      <c r="O75" s="13">
        <f>IF($B75 = "Ballistic", $N75*1.5,$N75)</f>
        <v>45</v>
      </c>
      <c r="P75" s="7">
        <f>IF($H75&lt;&gt;0,$D75*$E75*$F75*K75/$H75,)</f>
        <v>26.25</v>
      </c>
      <c r="Q75" s="9">
        <f>$D75*$J75*$F75</f>
        <v>60</v>
      </c>
      <c r="R75" s="9">
        <f>$D75*$E75*$F75*$K75</f>
        <v>105</v>
      </c>
      <c r="S75" s="5">
        <v>250</v>
      </c>
      <c r="T75" s="12">
        <v>140</v>
      </c>
      <c r="U75" s="5">
        <f>VLOOKUP(H75,Standard_F_Rates,2)</f>
        <v>8</v>
      </c>
      <c r="V75" s="5">
        <f>MAX(VLOOKUP(R75,Alt_Dmg_Table,2),IF(C75="Medium",VLOOKUP(M75,Medium_Weapon_Damage_Table,2),IF(C75="Small",VLOOKUP(M75,Small_Weapon_Damage_Table,2),IF(C75="Projector",VLOOKUP(M75,Projector_Weapon_Damage_Table,2),VLOOKUP(M75,Large_Weapon_Damage_Table,2)))))</f>
        <v>2</v>
      </c>
      <c r="W75" s="5">
        <f>VLOOKUP(AA75+AB75,Standard_Accuracy_Table,2)</f>
        <v>6</v>
      </c>
      <c r="X75" s="5">
        <f>VLOOKUP(Y75,Standard_Range_Table,2)</f>
        <v>9</v>
      </c>
      <c r="Y75" s="5">
        <v>2500</v>
      </c>
      <c r="Z75" s="7">
        <f>$D75*$E75/$H75</f>
        <v>0.75</v>
      </c>
      <c r="AA75" s="5">
        <v>1.5</v>
      </c>
      <c r="AB75" s="5"/>
    </row>
    <row r="76" spans="1:28" s="2" customFormat="1" x14ac:dyDescent="0.25">
      <c r="A76" s="5" t="s">
        <v>13</v>
      </c>
      <c r="B76" s="5" t="s">
        <v>68</v>
      </c>
      <c r="C76" s="5" t="s">
        <v>55</v>
      </c>
      <c r="D76" s="5">
        <f>IF(LEFT($A76,4) = "Dual",2,IF(LEFT($A76,6) = "Triple",3,1))</f>
        <v>1</v>
      </c>
      <c r="E76" s="5">
        <v>1</v>
      </c>
      <c r="F76" s="6">
        <v>1</v>
      </c>
      <c r="G76" s="5">
        <v>11</v>
      </c>
      <c r="H76" s="7">
        <f>IF(Table12[[#This Row],[Barrels]]&gt;1,Table12[[#This Row],[Recharge]]*1.33333333,Table12[[#This Row],[Recharge]])</f>
        <v>11</v>
      </c>
      <c r="I76" s="5">
        <v>495</v>
      </c>
      <c r="J76" s="5">
        <v>495</v>
      </c>
      <c r="K76" s="5">
        <v>495</v>
      </c>
      <c r="L76" s="7">
        <f>I76*$E76/$H76</f>
        <v>45</v>
      </c>
      <c r="M76" s="11">
        <f>IF($H76&lt;&gt;0,$D76*$E76*$F76*J76/$H76,)</f>
        <v>45</v>
      </c>
      <c r="N76" s="13">
        <f>IF($B76 = "Ballistic", 1.25*$M76,$M76)</f>
        <v>45</v>
      </c>
      <c r="O76" s="13">
        <f>IF($B76 = "Ballistic", $N76*1.5,$N76)</f>
        <v>45</v>
      </c>
      <c r="P76" s="7">
        <f>IF($H76&lt;&gt;0,$D76*$E76*$F76*K76/$H76,)</f>
        <v>45</v>
      </c>
      <c r="Q76" s="9">
        <f>$D76*$J76*$F76</f>
        <v>495</v>
      </c>
      <c r="R76" s="9">
        <f>$D76*$E76*$F76*$K76</f>
        <v>495</v>
      </c>
      <c r="S76" s="5">
        <v>200</v>
      </c>
      <c r="T76" s="12">
        <v>90</v>
      </c>
      <c r="U76" s="5">
        <f>VLOOKUP(H76,Standard_F_Rates,2)</f>
        <v>3</v>
      </c>
      <c r="V76" s="5">
        <f>MAX(VLOOKUP(R76,Alt_Dmg_Table,2),IF(C76="Medium",VLOOKUP(M76,Medium_Weapon_Damage_Table,2),IF(C76="Small",VLOOKUP(M76,Small_Weapon_Damage_Table,2),IF(C76="Projector",VLOOKUP(M76,Projector_Weapon_Damage_Table,2),VLOOKUP(M76,Large_Weapon_Damage_Table,2)))))</f>
        <v>5</v>
      </c>
      <c r="W76" s="5">
        <f>VLOOKUP(AA76+AB76,Standard_Accuracy_Table,2)</f>
        <v>10</v>
      </c>
      <c r="X76" s="5">
        <f>VLOOKUP(Y76,Standard_Range_Table,2)</f>
        <v>5</v>
      </c>
      <c r="Y76" s="5">
        <v>1250</v>
      </c>
      <c r="Z76" s="7">
        <f>$D76*$E76/$H76</f>
        <v>9.0909090909090912E-2</v>
      </c>
      <c r="AA76" s="5">
        <v>0</v>
      </c>
      <c r="AB76" s="5"/>
    </row>
    <row r="77" spans="1:28" s="2" customFormat="1" x14ac:dyDescent="0.25">
      <c r="A77" s="5" t="s">
        <v>40</v>
      </c>
      <c r="B77" s="5" t="s">
        <v>84</v>
      </c>
      <c r="C77" s="5" t="s">
        <v>55</v>
      </c>
      <c r="D77" s="5">
        <f>IF(LEFT($A77,4) = "Dual",2,IF(LEFT($A77,6) = "Triple",3,1))</f>
        <v>1</v>
      </c>
      <c r="E77" s="5">
        <v>1</v>
      </c>
      <c r="F77" s="6">
        <v>1</v>
      </c>
      <c r="G77" s="5">
        <v>6</v>
      </c>
      <c r="H77" s="7">
        <f>IF(Table12[[#This Row],[Barrels]]&gt;1,Table12[[#This Row],[Recharge]]*1.33333333,Table12[[#This Row],[Recharge]])</f>
        <v>6</v>
      </c>
      <c r="I77" s="5">
        <v>150</v>
      </c>
      <c r="J77" s="5">
        <v>250</v>
      </c>
      <c r="K77" s="5">
        <v>150</v>
      </c>
      <c r="L77" s="7">
        <f>I77*$E77/$H77</f>
        <v>25</v>
      </c>
      <c r="M77" s="11">
        <f>IF($H77&lt;&gt;0,$D77*$E77*$F77*J77/$H77,)</f>
        <v>41.666666666666664</v>
      </c>
      <c r="N77" s="13">
        <f>IF($B77 = "Ballistic", 1.25*$M77,$M77)</f>
        <v>41.666666666666664</v>
      </c>
      <c r="O77" s="13">
        <f>IF($B77 = "Ballistic", $N77*1.5,$N77)</f>
        <v>41.666666666666664</v>
      </c>
      <c r="P77" s="7">
        <f>IF($H77&lt;&gt;0,$D77*$E77*$F77*K77/$H77,)</f>
        <v>25</v>
      </c>
      <c r="Q77" s="9">
        <f>$D77*$J77*$F77</f>
        <v>250</v>
      </c>
      <c r="R77" s="9">
        <f>$D77*$E77*$F77*$K77</f>
        <v>150</v>
      </c>
      <c r="S77" s="5">
        <v>180</v>
      </c>
      <c r="T77" s="12">
        <v>80</v>
      </c>
      <c r="U77" s="5">
        <f>VLOOKUP(H77,Standard_F_Rates,2)</f>
        <v>7</v>
      </c>
      <c r="V77" s="5">
        <f>MAX(VLOOKUP(R77,Alt_Dmg_Table,2),IF(C77="Medium",VLOOKUP(M77,Medium_Weapon_Damage_Table,2),IF(C77="Small",VLOOKUP(M77,Small_Weapon_Damage_Table,2),IF(C77="Projector",VLOOKUP(M77,Projector_Weapon_Damage_Table,2),VLOOKUP(M77,Large_Weapon_Damage_Table,2)))))</f>
        <v>4</v>
      </c>
      <c r="W77" s="5">
        <f>VLOOKUP(AA77+AB77,Standard_Accuracy_Table,2)</f>
        <v>3</v>
      </c>
      <c r="X77" s="5">
        <f>VLOOKUP(Y77,Standard_Range_Table,2)</f>
        <v>7</v>
      </c>
      <c r="Y77" s="5">
        <v>1500</v>
      </c>
      <c r="Z77" s="7">
        <f>$D77*$E77/$H77</f>
        <v>0.16666666666666666</v>
      </c>
      <c r="AA77" s="5">
        <v>4</v>
      </c>
      <c r="AB77" s="5"/>
    </row>
    <row r="78" spans="1:28" s="2" customFormat="1" x14ac:dyDescent="0.25">
      <c r="A78" s="5" t="s">
        <v>154</v>
      </c>
      <c r="B78" s="5" t="s">
        <v>16</v>
      </c>
      <c r="C78" s="5" t="s">
        <v>55</v>
      </c>
      <c r="D78" s="5">
        <f>IF(LEFT($A78,4) = "Dual",2,IF(LEFT($A78,6) = "Triple",3,1))</f>
        <v>2</v>
      </c>
      <c r="E78" s="5">
        <v>1</v>
      </c>
      <c r="F78" s="6">
        <v>1</v>
      </c>
      <c r="G78" s="5">
        <v>5</v>
      </c>
      <c r="H78" s="7">
        <f>IF(Table12[[#This Row],[Barrels]]&gt;1,Table12[[#This Row],[Recharge]]*1.33333333,Table12[[#This Row],[Recharge]])</f>
        <v>6.6666666500000007</v>
      </c>
      <c r="I78" s="5">
        <v>136</v>
      </c>
      <c r="J78" s="5">
        <v>136</v>
      </c>
      <c r="K78" s="5">
        <v>136</v>
      </c>
      <c r="L78" s="7">
        <f>I78*$E78/$H78</f>
        <v>20.400000050999999</v>
      </c>
      <c r="M78" s="11">
        <f>IF($H78&lt;&gt;0,$D78*$E78*$F78*J78/$H78,)</f>
        <v>40.800000101999998</v>
      </c>
      <c r="N78" s="13">
        <f>IF($B78 = "Ballistic", 1.25*$M78,$M78)</f>
        <v>51.000000127500002</v>
      </c>
      <c r="O78" s="13">
        <f>IF($B78 = "Ballistic", $N78*1.5,$N78)</f>
        <v>76.500000191249995</v>
      </c>
      <c r="P78" s="7">
        <f>IF($H78&lt;&gt;0,$D78*$E78*$F78*K78/$H78,)</f>
        <v>40.800000101999998</v>
      </c>
      <c r="Q78" s="9">
        <f>$D78*$J78*$F78</f>
        <v>272</v>
      </c>
      <c r="R78" s="9">
        <f>$D78*$E78*$F78*$K78</f>
        <v>272</v>
      </c>
      <c r="S78" s="5">
        <v>95</v>
      </c>
      <c r="T78" s="12">
        <v>120</v>
      </c>
      <c r="U78" s="5">
        <f>VLOOKUP(H78,Standard_F_Rates,2)</f>
        <v>6</v>
      </c>
      <c r="V78" s="5">
        <f>MAX(VLOOKUP(R78,Alt_Dmg_Table,2),IF(C78="Medium",VLOOKUP(M78,Medium_Weapon_Damage_Table,2),IF(C78="Small",VLOOKUP(M78,Small_Weapon_Damage_Table,2),IF(C78="Projector",VLOOKUP(M78,Projector_Weapon_Damage_Table,2),VLOOKUP(M78,Large_Weapon_Damage_Table,2)))))</f>
        <v>4</v>
      </c>
      <c r="W78" s="5">
        <f>VLOOKUP(AA78+AB78,Standard_Accuracy_Table,2)</f>
        <v>3</v>
      </c>
      <c r="X78" s="5">
        <f>VLOOKUP(Y78,Standard_Range_Table,2)</f>
        <v>5</v>
      </c>
      <c r="Y78" s="5">
        <v>1200</v>
      </c>
      <c r="Z78" s="7">
        <f>$D78*$E78/$H78</f>
        <v>0.30000000075</v>
      </c>
      <c r="AA78" s="5">
        <v>4</v>
      </c>
      <c r="AB78" s="5"/>
    </row>
    <row r="79" spans="1:28" s="2" customFormat="1" x14ac:dyDescent="0.25">
      <c r="A79" s="5" t="s">
        <v>100</v>
      </c>
      <c r="B79" s="5" t="s">
        <v>16</v>
      </c>
      <c r="C79" s="5" t="s">
        <v>72</v>
      </c>
      <c r="D79" s="5">
        <f>IF(LEFT($A79,4) = "Dual",2,IF(LEFT($A79,6) = "Triple",3,1))</f>
        <v>1</v>
      </c>
      <c r="E79" s="5">
        <v>1</v>
      </c>
      <c r="F79" s="6">
        <v>1</v>
      </c>
      <c r="G79" s="5">
        <v>5</v>
      </c>
      <c r="H79" s="7">
        <f>IF(Table12[[#This Row],[Barrels]]&gt;1,Table12[[#This Row],[Recharge]]*1.33333333,Table12[[#This Row],[Recharge]])</f>
        <v>5</v>
      </c>
      <c r="I79" s="5">
        <v>200</v>
      </c>
      <c r="J79" s="5">
        <v>200</v>
      </c>
      <c r="K79" s="5">
        <v>200</v>
      </c>
      <c r="L79" s="7">
        <f>I79*$E79/$H79</f>
        <v>40</v>
      </c>
      <c r="M79" s="11">
        <f>IF($H79&lt;&gt;0,$D79*$E79*$F79*J79/$H79,)</f>
        <v>40</v>
      </c>
      <c r="N79" s="13">
        <f>IF($B79 = "Ballistic", 1.25*$M79,$M79)</f>
        <v>50</v>
      </c>
      <c r="O79" s="13">
        <f>IF($B79 = "Ballistic", $N79*1.5,$N79)</f>
        <v>75</v>
      </c>
      <c r="P79" s="7">
        <f>IF($H79&lt;&gt;0,$D79*$E79*$F79*K79/$H79,)</f>
        <v>40</v>
      </c>
      <c r="Q79" s="9">
        <f>$D79*$J79*$F79</f>
        <v>200</v>
      </c>
      <c r="R79" s="9">
        <f>$D79*$E79*$F79*$K79</f>
        <v>200</v>
      </c>
      <c r="S79" s="5">
        <v>100</v>
      </c>
      <c r="T79" s="12">
        <v>80</v>
      </c>
      <c r="U79" s="5">
        <f>VLOOKUP(H79,Standard_F_Rates,2)</f>
        <v>8</v>
      </c>
      <c r="V79" s="5">
        <f>MAX(VLOOKUP(R79,Alt_Dmg_Table,2),IF(C79="Medium",VLOOKUP(M79,Medium_Weapon_Damage_Table,2),IF(C79="Small",VLOOKUP(M79,Small_Weapon_Damage_Table,2),IF(C79="Projector",VLOOKUP(M79,Projector_Weapon_Damage_Table,2),VLOOKUP(M79,Large_Weapon_Damage_Table,2)))))</f>
        <v>2</v>
      </c>
      <c r="W79" s="5">
        <f>VLOOKUP(AA79+AB79,Standard_Accuracy_Table,2)</f>
        <v>3</v>
      </c>
      <c r="X79" s="5">
        <f>VLOOKUP(Y79,Standard_Range_Table,2)</f>
        <v>8</v>
      </c>
      <c r="Y79" s="5">
        <v>1950</v>
      </c>
      <c r="Z79" s="7">
        <f>$D79*$E79/$H79</f>
        <v>0.2</v>
      </c>
      <c r="AA79" s="5">
        <v>4</v>
      </c>
      <c r="AB79" s="5"/>
    </row>
    <row r="80" spans="1:28" s="2" customFormat="1" x14ac:dyDescent="0.25">
      <c r="A80" s="5" t="s">
        <v>37</v>
      </c>
      <c r="B80" s="5" t="s">
        <v>19</v>
      </c>
      <c r="C80" s="5" t="s">
        <v>72</v>
      </c>
      <c r="D80" s="5">
        <f>IF(LEFT($A80,4) = "Dual",2,IF(LEFT($A80,6) = "Triple",3,1))</f>
        <v>1</v>
      </c>
      <c r="E80" s="5">
        <v>1</v>
      </c>
      <c r="F80" s="6">
        <v>2</v>
      </c>
      <c r="G80" s="5">
        <v>10</v>
      </c>
      <c r="H80" s="7">
        <f>IF(Table12[[#This Row],[Barrels]]&gt;1,Table12[[#This Row],[Recharge]]*1.33333333,Table12[[#This Row],[Recharge]])</f>
        <v>10</v>
      </c>
      <c r="I80" s="5">
        <v>200</v>
      </c>
      <c r="J80" s="5">
        <v>200</v>
      </c>
      <c r="K80" s="5">
        <v>200</v>
      </c>
      <c r="L80" s="7">
        <f>I80*$E80/$H80</f>
        <v>20</v>
      </c>
      <c r="M80" s="11">
        <f>IF($H80&lt;&gt;0,$D80*$E80*$F80*J80/$H80,)</f>
        <v>40</v>
      </c>
      <c r="N80" s="13">
        <f>IF($B80 = "Ballistic", 1.25*$M80,$M80)</f>
        <v>40</v>
      </c>
      <c r="O80" s="13">
        <f>IF($B80 = "Ballistic", $N80*1.5,$N80)</f>
        <v>40</v>
      </c>
      <c r="P80" s="7">
        <f>IF($H80&lt;&gt;0,$D80*$E80*$F80*K80/$H80,)</f>
        <v>40</v>
      </c>
      <c r="Q80" s="9">
        <f>$D80*$J80*$F80</f>
        <v>400</v>
      </c>
      <c r="R80" s="9">
        <f>$D80*$E80*$F80*$K80</f>
        <v>400</v>
      </c>
      <c r="S80" s="5">
        <v>100</v>
      </c>
      <c r="T80" s="12">
        <v>80</v>
      </c>
      <c r="U80" s="5">
        <f>VLOOKUP(H80,Standard_F_Rates,2)</f>
        <v>4</v>
      </c>
      <c r="V80" s="5">
        <f>MAX(VLOOKUP(R80,Alt_Dmg_Table,2),IF(C80="Medium",VLOOKUP(M80,Medium_Weapon_Damage_Table,2),IF(C80="Small",VLOOKUP(M80,Small_Weapon_Damage_Table,2),IF(C80="Projector",VLOOKUP(M80,Projector_Weapon_Damage_Table,2),VLOOKUP(M80,Large_Weapon_Damage_Table,2)))))</f>
        <v>4</v>
      </c>
      <c r="W80" s="5">
        <f>VLOOKUP(AA80+AB80,Standard_Accuracy_Table,2)</f>
        <v>10</v>
      </c>
      <c r="X80" s="5">
        <f>VLOOKUP(Y80,Standard_Range_Table,2)</f>
        <v>4</v>
      </c>
      <c r="Y80" s="5">
        <v>1000</v>
      </c>
      <c r="Z80" s="7">
        <f>$D80*$E80/$H80</f>
        <v>0.1</v>
      </c>
      <c r="AA80" s="5">
        <v>0</v>
      </c>
      <c r="AB80" s="5"/>
    </row>
    <row r="81" spans="1:28" s="2" customFormat="1" x14ac:dyDescent="0.25">
      <c r="A81" s="5" t="s">
        <v>80</v>
      </c>
      <c r="B81" s="5" t="s">
        <v>19</v>
      </c>
      <c r="C81" s="5" t="s">
        <v>65</v>
      </c>
      <c r="D81" s="5">
        <f>IF(LEFT($A81,4) = "Dual",2,IF(LEFT($A81,6) = "Triple",3,1))</f>
        <v>1</v>
      </c>
      <c r="E81" s="5">
        <v>1</v>
      </c>
      <c r="F81" s="6">
        <v>2</v>
      </c>
      <c r="G81" s="5">
        <v>10</v>
      </c>
      <c r="H81" s="7">
        <f>IF(Table12[[#This Row],[Barrels]]&gt;1,Table12[[#This Row],[Recharge]]*1.33333333,Table12[[#This Row],[Recharge]])</f>
        <v>10</v>
      </c>
      <c r="I81" s="5">
        <v>200</v>
      </c>
      <c r="J81" s="5">
        <v>200</v>
      </c>
      <c r="K81" s="5">
        <v>200</v>
      </c>
      <c r="L81" s="7">
        <f>I81*$E81/$H81</f>
        <v>20</v>
      </c>
      <c r="M81" s="11">
        <f>IF($H81&lt;&gt;0,$D81*$E81*$F81*J81/$H81,)</f>
        <v>40</v>
      </c>
      <c r="N81" s="13">
        <f>IF($B81 = "Ballistic", 1.25*$M81,$M81)</f>
        <v>40</v>
      </c>
      <c r="O81" s="13">
        <f>IF($B81 = "Ballistic", $N81*1.5,$N81)</f>
        <v>40</v>
      </c>
      <c r="P81" s="7">
        <f>IF($H81&lt;&gt;0,$D81*$E81*$F81*K81/$H81,)</f>
        <v>40</v>
      </c>
      <c r="Q81" s="9">
        <f>$D81*$J81*$F81</f>
        <v>400</v>
      </c>
      <c r="R81" s="9">
        <f>$D81*$E81*$F81*$K81</f>
        <v>400</v>
      </c>
      <c r="S81" s="5"/>
      <c r="T81" s="12">
        <v>80</v>
      </c>
      <c r="U81" s="5">
        <f>VLOOKUP(H81,Standard_F_Rates,2)</f>
        <v>4</v>
      </c>
      <c r="V81" s="5">
        <f>MAX(VLOOKUP(R81,Alt_Dmg_Table,2),IF(C81="Medium",VLOOKUP(M81,Medium_Weapon_Damage_Table,2),IF(C81="Small",VLOOKUP(M81,Small_Weapon_Damage_Table,2),IF(C81="Projector",VLOOKUP(M81,Projector_Weapon_Damage_Table,2),VLOOKUP(M81,Large_Weapon_Damage_Table,2)))))</f>
        <v>4</v>
      </c>
      <c r="W81" s="5">
        <f>VLOOKUP(AA81+AB81,Standard_Accuracy_Table,2)</f>
        <v>5</v>
      </c>
      <c r="X81" s="5">
        <f>VLOOKUP(Y81,Standard_Range_Table,2)</f>
        <v>4</v>
      </c>
      <c r="Y81" s="5">
        <v>1000</v>
      </c>
      <c r="Z81" s="7">
        <f>$D81*$E81/$H81</f>
        <v>0.1</v>
      </c>
      <c r="AA81" s="5">
        <v>2</v>
      </c>
      <c r="AB81" s="5"/>
    </row>
    <row r="82" spans="1:28" s="2" customFormat="1" x14ac:dyDescent="0.25">
      <c r="A82" s="5" t="s">
        <v>8</v>
      </c>
      <c r="B82" s="5" t="s">
        <v>8</v>
      </c>
      <c r="C82" s="5" t="s">
        <v>55</v>
      </c>
      <c r="D82" s="5">
        <f>IF(LEFT($A82,4) = "Dual",2,IF(LEFT($A82,6) = "Triple",3,1))</f>
        <v>1</v>
      </c>
      <c r="E82" s="5">
        <v>10</v>
      </c>
      <c r="F82" s="6">
        <v>1</v>
      </c>
      <c r="G82" s="5">
        <v>10</v>
      </c>
      <c r="H82" s="7">
        <f>IF(Table12[[#This Row],[Barrels]]&gt;1,Table12[[#This Row],[Recharge]]*1.33333333,Table12[[#This Row],[Recharge]])</f>
        <v>10</v>
      </c>
      <c r="I82" s="5">
        <v>40</v>
      </c>
      <c r="J82" s="5">
        <v>40</v>
      </c>
      <c r="K82" s="5">
        <v>40</v>
      </c>
      <c r="L82" s="7">
        <f>I82*$E82/$H82</f>
        <v>40</v>
      </c>
      <c r="M82" s="11">
        <f>IF($H82&lt;&gt;0,$D82*$E82*$F82*J82/$H82,)</f>
        <v>40</v>
      </c>
      <c r="N82" s="13">
        <f>IF($B82 = "Ballistic", 1.25*$M82,$M82)</f>
        <v>40</v>
      </c>
      <c r="O82" s="13">
        <f>IF($B82 = "Ballistic", $N82*1.5,$N82)</f>
        <v>40</v>
      </c>
      <c r="P82" s="7">
        <f>IF($H82&lt;&gt;0,$D82*$E82*$F82*K82/$H82,)</f>
        <v>40</v>
      </c>
      <c r="Q82" s="9">
        <f>$D82*$J82*$F82</f>
        <v>40</v>
      </c>
      <c r="R82" s="9">
        <f>$D82*$E82*$F82*$K82</f>
        <v>400</v>
      </c>
      <c r="S82" s="5">
        <v>245</v>
      </c>
      <c r="T82" s="12">
        <v>80</v>
      </c>
      <c r="U82" s="5">
        <f>VLOOKUP(H82,Standard_F_Rates,2)</f>
        <v>4</v>
      </c>
      <c r="V82" s="5">
        <f>MAX(VLOOKUP(R82,Alt_Dmg_Table,2),IF(C82="Medium",VLOOKUP(M82,Medium_Weapon_Damage_Table,2),IF(C82="Small",VLOOKUP(M82,Small_Weapon_Damage_Table,2),IF(C82="Projector",VLOOKUP(M82,Projector_Weapon_Damage_Table,2),VLOOKUP(M82,Large_Weapon_Damage_Table,2)))))</f>
        <v>4</v>
      </c>
      <c r="W82" s="5">
        <f>VLOOKUP(AA82+AB82,Standard_Accuracy_Table,2)</f>
        <v>1</v>
      </c>
      <c r="X82" s="5">
        <f>VLOOKUP(Y82,Standard_Range_Table,2)</f>
        <v>4</v>
      </c>
      <c r="Y82" s="5">
        <v>975</v>
      </c>
      <c r="Z82" s="7">
        <f>$D82*$E82/$H82</f>
        <v>1</v>
      </c>
      <c r="AA82" s="5">
        <v>5</v>
      </c>
      <c r="AB82" s="5">
        <v>1</v>
      </c>
    </row>
    <row r="83" spans="1:28" s="2" customFormat="1" x14ac:dyDescent="0.25">
      <c r="A83" s="5" t="s">
        <v>110</v>
      </c>
      <c r="B83" s="5" t="s">
        <v>53</v>
      </c>
      <c r="C83" s="5" t="s">
        <v>72</v>
      </c>
      <c r="D83" s="5">
        <f>IF(LEFT($A83,4) = "Dual",2,IF(LEFT($A83,6) = "Triple",3,1))</f>
        <v>1</v>
      </c>
      <c r="E83" s="5">
        <v>3</v>
      </c>
      <c r="F83" s="6">
        <v>1</v>
      </c>
      <c r="G83" s="5">
        <v>8</v>
      </c>
      <c r="H83" s="7">
        <f>IF(Table12[[#This Row],[Barrels]]&gt;1,Table12[[#This Row],[Recharge]]*1.33333333,Table12[[#This Row],[Recharge]])</f>
        <v>8</v>
      </c>
      <c r="I83" s="5">
        <v>100</v>
      </c>
      <c r="J83" s="5">
        <v>100</v>
      </c>
      <c r="K83" s="5">
        <v>66</v>
      </c>
      <c r="L83" s="7">
        <f>I83*$E83/$H83</f>
        <v>37.5</v>
      </c>
      <c r="M83" s="11">
        <f>IF($H83&lt;&gt;0,$D83*$E83*$F83*J83/$H83,)</f>
        <v>37.5</v>
      </c>
      <c r="N83" s="13">
        <f>IF($B83 = "Ballistic", 1.25*$M83,$M83)</f>
        <v>37.5</v>
      </c>
      <c r="O83" s="13">
        <f>IF($B83 = "Ballistic", $N83*1.5,$N83)</f>
        <v>37.5</v>
      </c>
      <c r="P83" s="7">
        <f>IF($H83&lt;&gt;0,$D83*$E83*$F83*K83/$H83,)</f>
        <v>24.75</v>
      </c>
      <c r="Q83" s="9">
        <f>$D83*$J83*$F83</f>
        <v>100</v>
      </c>
      <c r="R83" s="9">
        <f>$D83*$E83*$F83*$K83</f>
        <v>198</v>
      </c>
      <c r="S83" s="5"/>
      <c r="T83" s="12">
        <v>120</v>
      </c>
      <c r="U83" s="5">
        <f>VLOOKUP(H83,Standard_F_Rates,2)</f>
        <v>5</v>
      </c>
      <c r="V83" s="5">
        <f>MAX(VLOOKUP(R83,Alt_Dmg_Table,2),IF(C83="Medium",VLOOKUP(M83,Medium_Weapon_Damage_Table,2),IF(C83="Small",VLOOKUP(M83,Small_Weapon_Damage_Table,2),IF(C83="Projector",VLOOKUP(M83,Projector_Weapon_Damage_Table,2),VLOOKUP(M83,Large_Weapon_Damage_Table,2)))))</f>
        <v>1</v>
      </c>
      <c r="W83" s="5">
        <f>VLOOKUP(AA83+AB83,Standard_Accuracy_Table,2)</f>
        <v>5</v>
      </c>
      <c r="X83" s="5">
        <f>VLOOKUP(Y83,Standard_Range_Table,2)</f>
        <v>3</v>
      </c>
      <c r="Y83" s="5">
        <v>650</v>
      </c>
      <c r="Z83" s="7">
        <f>$D83*$E83/$H83</f>
        <v>0.375</v>
      </c>
      <c r="AA83" s="5">
        <v>2</v>
      </c>
      <c r="AB83" s="5"/>
    </row>
    <row r="84" spans="1:28" s="2" customFormat="1" x14ac:dyDescent="0.25">
      <c r="A84" s="5" t="s">
        <v>152</v>
      </c>
      <c r="B84" s="5" t="s">
        <v>84</v>
      </c>
      <c r="C84" s="5" t="s">
        <v>55</v>
      </c>
      <c r="D84" s="5">
        <f>IF(LEFT($A84,4) = "Dual",2,IF(LEFT($A84,6) = "Triple",3,1))</f>
        <v>2</v>
      </c>
      <c r="E84" s="5">
        <v>1</v>
      </c>
      <c r="F84" s="6">
        <v>1</v>
      </c>
      <c r="G84" s="5">
        <v>6</v>
      </c>
      <c r="H84" s="7">
        <f>IF(Table12[[#This Row],[Barrels]]&gt;1,Table12[[#This Row],[Recharge]]*1.33333333,Table12[[#This Row],[Recharge]])</f>
        <v>7.9999999800000001</v>
      </c>
      <c r="I84" s="5">
        <v>80</v>
      </c>
      <c r="J84" s="5">
        <v>144</v>
      </c>
      <c r="K84" s="5">
        <v>80</v>
      </c>
      <c r="L84" s="7">
        <f>I84*$E84/$H84</f>
        <v>10.000000025</v>
      </c>
      <c r="M84" s="11">
        <f>IF($H84&lt;&gt;0,$D84*$E84*$F84*J84/$H84,)</f>
        <v>36.00000009</v>
      </c>
      <c r="N84" s="13">
        <f>IF($B84 = "Ballistic", 1.25*$M84,$M84)</f>
        <v>36.00000009</v>
      </c>
      <c r="O84" s="13">
        <f>IF($B84 = "Ballistic", $N84*1.5,$N84)</f>
        <v>36.00000009</v>
      </c>
      <c r="P84" s="7">
        <f>IF($H84&lt;&gt;0,$D84*$E84*$F84*K84/$H84,)</f>
        <v>20.000000050000001</v>
      </c>
      <c r="Q84" s="9">
        <f>$D84*$J84*$F84</f>
        <v>288</v>
      </c>
      <c r="R84" s="9">
        <f>$D84*$E84*$F84*$K84</f>
        <v>160</v>
      </c>
      <c r="S84" s="5">
        <v>16</v>
      </c>
      <c r="T84" s="12">
        <v>120</v>
      </c>
      <c r="U84" s="5">
        <f>VLOOKUP(H84,Standard_F_Rates,2)</f>
        <v>5</v>
      </c>
      <c r="V84" s="5">
        <f>MAX(VLOOKUP(R84,Alt_Dmg_Table,2),IF(C84="Medium",VLOOKUP(M84,Medium_Weapon_Damage_Table,2),IF(C84="Small",VLOOKUP(M84,Small_Weapon_Damage_Table,2),IF(C84="Projector",VLOOKUP(M84,Projector_Weapon_Damage_Table,2),VLOOKUP(M84,Large_Weapon_Damage_Table,2)))))</f>
        <v>4</v>
      </c>
      <c r="W84" s="5">
        <f>VLOOKUP(AA84+AB84,Standard_Accuracy_Table,2)</f>
        <v>3</v>
      </c>
      <c r="X84" s="5">
        <f>VLOOKUP(Y84,Standard_Range_Table,2)</f>
        <v>4</v>
      </c>
      <c r="Y84" s="5">
        <v>1000</v>
      </c>
      <c r="Z84" s="7">
        <f>$D84*$E84/$H84</f>
        <v>0.250000000625</v>
      </c>
      <c r="AA84" s="5">
        <v>4</v>
      </c>
      <c r="AB84" s="5"/>
    </row>
    <row r="85" spans="1:28" s="2" customFormat="1" x14ac:dyDescent="0.25">
      <c r="A85" s="5" t="s">
        <v>98</v>
      </c>
      <c r="B85" s="5" t="s">
        <v>16</v>
      </c>
      <c r="C85" s="5" t="s">
        <v>55</v>
      </c>
      <c r="D85" s="5">
        <f>IF(LEFT($A85,4) = "Dual",2,IF(LEFT($A85,6) = "Triple",3,1))</f>
        <v>1</v>
      </c>
      <c r="E85" s="5">
        <v>1</v>
      </c>
      <c r="F85" s="6">
        <v>1</v>
      </c>
      <c r="G85" s="5">
        <v>5</v>
      </c>
      <c r="H85" s="7">
        <f>IF(Table12[[#This Row],[Barrels]]&gt;1,Table12[[#This Row],[Recharge]]*1.33333333,Table12[[#This Row],[Recharge]])</f>
        <v>5</v>
      </c>
      <c r="I85" s="5">
        <v>170</v>
      </c>
      <c r="J85" s="5">
        <v>170</v>
      </c>
      <c r="K85" s="5">
        <v>170</v>
      </c>
      <c r="L85" s="7">
        <f>I85*$E85/$H85</f>
        <v>34</v>
      </c>
      <c r="M85" s="11">
        <f>IF($H85&lt;&gt;0,$D85*$E85*$F85*J85/$H85,)</f>
        <v>34</v>
      </c>
      <c r="N85" s="13">
        <f>IF($B85 = "Ballistic", 1.25*$M85,$M85)</f>
        <v>42.5</v>
      </c>
      <c r="O85" s="13">
        <f>IF($B85 = "Ballistic", $N85*1.5,$N85)</f>
        <v>63.75</v>
      </c>
      <c r="P85" s="7">
        <f>IF($H85&lt;&gt;0,$D85*$E85*$F85*K85/$H85,)</f>
        <v>34</v>
      </c>
      <c r="Q85" s="9">
        <f>$D85*$J85*$F85</f>
        <v>170</v>
      </c>
      <c r="R85" s="9">
        <f>$D85*$E85*$F85*$K85</f>
        <v>170</v>
      </c>
      <c r="S85" s="5">
        <v>85</v>
      </c>
      <c r="T85" s="12">
        <v>60</v>
      </c>
      <c r="U85" s="5">
        <f>VLOOKUP(H85,Standard_F_Rates,2)</f>
        <v>8</v>
      </c>
      <c r="V85" s="5">
        <f>MAX(VLOOKUP(R85,Alt_Dmg_Table,2),IF(C85="Medium",VLOOKUP(M85,Medium_Weapon_Damage_Table,2),IF(C85="Small",VLOOKUP(M85,Small_Weapon_Damage_Table,2),IF(C85="Projector",VLOOKUP(M85,Projector_Weapon_Damage_Table,2),VLOOKUP(M85,Large_Weapon_Damage_Table,2)))))</f>
        <v>3</v>
      </c>
      <c r="W85" s="5">
        <f>VLOOKUP(AA85+AB85,Standard_Accuracy_Table,2)</f>
        <v>3</v>
      </c>
      <c r="X85" s="5">
        <f>VLOOKUP(Y85,Standard_Range_Table,2)</f>
        <v>5</v>
      </c>
      <c r="Y85" s="5">
        <v>1200</v>
      </c>
      <c r="Z85" s="7">
        <f>$D85*$E85/$H85</f>
        <v>0.2</v>
      </c>
      <c r="AA85" s="5">
        <v>4</v>
      </c>
      <c r="AB85" s="5"/>
    </row>
    <row r="86" spans="1:28" s="2" customFormat="1" x14ac:dyDescent="0.25">
      <c r="A86" s="5" t="s">
        <v>82</v>
      </c>
      <c r="B86" s="5" t="s">
        <v>84</v>
      </c>
      <c r="C86" s="5" t="s">
        <v>55</v>
      </c>
      <c r="D86" s="5">
        <f>IF(LEFT($A86,4) = "Dual",2,IF(LEFT($A86,6) = "Triple",3,1))</f>
        <v>1</v>
      </c>
      <c r="E86" s="5">
        <v>1</v>
      </c>
      <c r="F86" s="6">
        <v>1</v>
      </c>
      <c r="G86" s="5">
        <v>6</v>
      </c>
      <c r="H86" s="7">
        <f>IF(Table12[[#This Row],[Barrels]]&gt;1,Table12[[#This Row],[Recharge]]*1.33333333,Table12[[#This Row],[Recharge]])</f>
        <v>6</v>
      </c>
      <c r="I86" s="5">
        <v>120</v>
      </c>
      <c r="J86" s="5">
        <v>200</v>
      </c>
      <c r="K86" s="5">
        <v>120</v>
      </c>
      <c r="L86" s="7">
        <f>I86*$E86/$H86</f>
        <v>20</v>
      </c>
      <c r="M86" s="11">
        <f>IF($H86&lt;&gt;0,$D86*$E86*$F86*J86/$H86,)</f>
        <v>33.333333333333336</v>
      </c>
      <c r="N86" s="13">
        <f>IF($B86 = "Ballistic", 1.25*$M86,$M86)</f>
        <v>33.333333333333336</v>
      </c>
      <c r="O86" s="13">
        <f>IF($B86 = "Ballistic", $N86*1.5,$N86)</f>
        <v>33.333333333333336</v>
      </c>
      <c r="P86" s="7">
        <f>IF($H86&lt;&gt;0,$D86*$E86*$F86*K86/$H86,)</f>
        <v>20</v>
      </c>
      <c r="Q86" s="9">
        <f>$D86*$J86*$F86</f>
        <v>200</v>
      </c>
      <c r="R86" s="9">
        <f>$D86*$E86*$F86*$K86</f>
        <v>120</v>
      </c>
      <c r="S86" s="5">
        <v>120</v>
      </c>
      <c r="T86" s="12">
        <v>80</v>
      </c>
      <c r="U86" s="5">
        <f>VLOOKUP(H86,Standard_F_Rates,2)</f>
        <v>7</v>
      </c>
      <c r="V86" s="5">
        <f>MAX(VLOOKUP(R86,Alt_Dmg_Table,2),IF(C86="Medium",VLOOKUP(M86,Medium_Weapon_Damage_Table,2),IF(C86="Small",VLOOKUP(M86,Small_Weapon_Damage_Table,2),IF(C86="Projector",VLOOKUP(M86,Projector_Weapon_Damage_Table,2),VLOOKUP(M86,Large_Weapon_Damage_Table,2)))))</f>
        <v>3</v>
      </c>
      <c r="W86" s="5">
        <f>VLOOKUP(AA86+AB86,Standard_Accuracy_Table,2)</f>
        <v>3</v>
      </c>
      <c r="X86" s="5">
        <f>VLOOKUP(Y86,Standard_Range_Table,2)</f>
        <v>7</v>
      </c>
      <c r="Y86" s="5">
        <v>1500</v>
      </c>
      <c r="Z86" s="7">
        <f>$D86*$E86/$H86</f>
        <v>0.16666666666666666</v>
      </c>
      <c r="AA86" s="5">
        <v>4</v>
      </c>
      <c r="AB86" s="5"/>
    </row>
    <row r="87" spans="1:28" s="2" customFormat="1" x14ac:dyDescent="0.25">
      <c r="A87" s="5" t="s">
        <v>1</v>
      </c>
      <c r="B87" s="5" t="s">
        <v>8</v>
      </c>
      <c r="C87" s="5" t="s">
        <v>55</v>
      </c>
      <c r="D87" s="5">
        <f>IF(LEFT($A87,4) = "Dual",2,IF(LEFT($A87,6) = "Triple",3,1))</f>
        <v>1</v>
      </c>
      <c r="E87" s="5">
        <v>10</v>
      </c>
      <c r="F87" s="6">
        <v>1</v>
      </c>
      <c r="G87" s="5">
        <v>10</v>
      </c>
      <c r="H87" s="7">
        <f>IF(Table12[[#This Row],[Barrels]]&gt;1,Table12[[#This Row],[Recharge]]*1.33333333,Table12[[#This Row],[Recharge]])</f>
        <v>10</v>
      </c>
      <c r="I87" s="5">
        <v>32</v>
      </c>
      <c r="J87" s="5">
        <v>32</v>
      </c>
      <c r="K87" s="5">
        <v>32</v>
      </c>
      <c r="L87" s="7">
        <f>I87*$E87/$H87</f>
        <v>32</v>
      </c>
      <c r="M87" s="11">
        <f>IF($H87&lt;&gt;0,$D87*$E87*$F87*J87/$H87,)</f>
        <v>32</v>
      </c>
      <c r="N87" s="13">
        <f>IF($B87 = "Ballistic", 1.25*$M87,$M87)</f>
        <v>32</v>
      </c>
      <c r="O87" s="13">
        <f>IF($B87 = "Ballistic", $N87*1.5,$N87)</f>
        <v>32</v>
      </c>
      <c r="P87" s="7">
        <f>IF($H87&lt;&gt;0,$D87*$E87*$F87*K87/$H87,)</f>
        <v>32</v>
      </c>
      <c r="Q87" s="9">
        <f>$D87*$J87*$F87</f>
        <v>32</v>
      </c>
      <c r="R87" s="9">
        <f>$D87*$E87*$F87*$K87</f>
        <v>320</v>
      </c>
      <c r="S87" s="5"/>
      <c r="T87" s="12">
        <v>80</v>
      </c>
      <c r="U87" s="5">
        <f>VLOOKUP(H87,Standard_F_Rates,2)</f>
        <v>4</v>
      </c>
      <c r="V87" s="5">
        <f>MAX(VLOOKUP(R87,Alt_Dmg_Table,2),IF(C87="Medium",VLOOKUP(M87,Medium_Weapon_Damage_Table,2),IF(C87="Small",VLOOKUP(M87,Small_Weapon_Damage_Table,2),IF(C87="Projector",VLOOKUP(M87,Projector_Weapon_Damage_Table,2),VLOOKUP(M87,Large_Weapon_Damage_Table,2)))))</f>
        <v>3</v>
      </c>
      <c r="W87" s="5">
        <f>VLOOKUP(AA87+AB87,Standard_Accuracy_Table,2)</f>
        <v>1</v>
      </c>
      <c r="X87" s="5">
        <f>VLOOKUP(Y87,Standard_Range_Table,2)</f>
        <v>4</v>
      </c>
      <c r="Y87" s="5">
        <v>975</v>
      </c>
      <c r="Z87" s="7">
        <f>$D87*$E87/$H87</f>
        <v>1</v>
      </c>
      <c r="AA87" s="5">
        <v>5</v>
      </c>
      <c r="AB87" s="5">
        <v>1</v>
      </c>
    </row>
    <row r="88" spans="1:28" s="2" customFormat="1" x14ac:dyDescent="0.25">
      <c r="A88" s="5" t="s">
        <v>155</v>
      </c>
      <c r="B88" s="5" t="s">
        <v>16</v>
      </c>
      <c r="C88" s="5" t="s">
        <v>55</v>
      </c>
      <c r="D88" s="5">
        <f>IF(LEFT($A88,4) = "Dual",2,IF(LEFT($A88,6) = "Triple",3,1))</f>
        <v>2</v>
      </c>
      <c r="E88" s="5">
        <v>1</v>
      </c>
      <c r="F88" s="6">
        <v>1</v>
      </c>
      <c r="G88" s="5">
        <v>8</v>
      </c>
      <c r="H88" s="7">
        <f>IF(Table12[[#This Row],[Barrels]]&gt;1,Table12[[#This Row],[Recharge]]*1.33333333,Table12[[#This Row],[Recharge]])</f>
        <v>10.666666640000001</v>
      </c>
      <c r="I88" s="5">
        <v>170</v>
      </c>
      <c r="J88" s="5">
        <v>170</v>
      </c>
      <c r="K88" s="5">
        <v>170</v>
      </c>
      <c r="L88" s="7">
        <f>I88*$E88/$H88</f>
        <v>15.93750003984375</v>
      </c>
      <c r="M88" s="11">
        <f>IF($H88&lt;&gt;0,$D88*$E88*$F88*J88/$H88,)</f>
        <v>31.875000079687499</v>
      </c>
      <c r="N88" s="13">
        <f>IF($B88 = "Ballistic", 1.25*$M88,$M88)</f>
        <v>39.843750099609373</v>
      </c>
      <c r="O88" s="13">
        <f>IF($B88 = "Ballistic", $N88*1.5,$N88)</f>
        <v>59.765625149414063</v>
      </c>
      <c r="P88" s="7">
        <f>IF($H88&lt;&gt;0,$D88*$E88*$F88*K88/$H88,)</f>
        <v>31.875000079687499</v>
      </c>
      <c r="Q88" s="9">
        <f>$D88*$J88*$F88</f>
        <v>340</v>
      </c>
      <c r="R88" s="9">
        <f>$D88*$E88*$F88*$K88</f>
        <v>340</v>
      </c>
      <c r="S88" s="5"/>
      <c r="T88" s="12">
        <v>120</v>
      </c>
      <c r="U88" s="5">
        <f>VLOOKUP(H88,Standard_F_Rates,2)</f>
        <v>3</v>
      </c>
      <c r="V88" s="5">
        <f>MAX(VLOOKUP(R88,Alt_Dmg_Table,2),IF(C88="Medium",VLOOKUP(M88,Medium_Weapon_Damage_Table,2),IF(C88="Small",VLOOKUP(M88,Small_Weapon_Damage_Table,2),IF(C88="Projector",VLOOKUP(M88,Projector_Weapon_Damage_Table,2),VLOOKUP(M88,Large_Weapon_Damage_Table,2)))))</f>
        <v>3</v>
      </c>
      <c r="W88" s="5">
        <f>VLOOKUP(AA88+AB88,Standard_Accuracy_Table,2)</f>
        <v>7</v>
      </c>
      <c r="X88" s="5">
        <f>VLOOKUP(Y88,Standard_Range_Table,2)</f>
        <v>8</v>
      </c>
      <c r="Y88" s="5">
        <v>1800</v>
      </c>
      <c r="Z88" s="7">
        <f>$D88*$E88/$H88</f>
        <v>0.18750000046874998</v>
      </c>
      <c r="AA88" s="5">
        <v>1</v>
      </c>
      <c r="AB88" s="5"/>
    </row>
    <row r="89" spans="1:28" s="2" customFormat="1" x14ac:dyDescent="0.25">
      <c r="A89" s="5" t="s">
        <v>168</v>
      </c>
      <c r="B89" s="5" t="s">
        <v>67</v>
      </c>
      <c r="C89" s="5" t="s">
        <v>71</v>
      </c>
      <c r="D89" s="5">
        <f>IF(LEFT($A89,4) = "Dual",2,IF(LEFT($A89,6) = "Triple",3,1))</f>
        <v>2</v>
      </c>
      <c r="E89" s="5">
        <v>3</v>
      </c>
      <c r="F89" s="6">
        <v>1</v>
      </c>
      <c r="G89" s="5">
        <v>6</v>
      </c>
      <c r="H89" s="7">
        <f>IF(Table12[[#This Row],[Barrels]]&gt;1,Table12[[#This Row],[Recharge]]*1.33333333,Table12[[#This Row],[Recharge]])</f>
        <v>7.9999999800000001</v>
      </c>
      <c r="I89" s="5">
        <v>45</v>
      </c>
      <c r="J89" s="5">
        <v>40</v>
      </c>
      <c r="K89" s="5">
        <v>30</v>
      </c>
      <c r="L89" s="7">
        <f>I89*$E89/$H89</f>
        <v>16.875000042187501</v>
      </c>
      <c r="M89" s="11">
        <f>IF($H89&lt;&gt;0,$D89*$E89*$F89*J89/$H89,)</f>
        <v>30.000000074999999</v>
      </c>
      <c r="N89" s="13">
        <f>IF($B89 = "Ballistic", 1.25*$M89,$M89)</f>
        <v>30.000000074999999</v>
      </c>
      <c r="O89" s="13">
        <f>IF($B89 = "Ballistic", $N89*1.5,$N89)</f>
        <v>30.000000074999999</v>
      </c>
      <c r="P89" s="7">
        <f>IF($H89&lt;&gt;0,$D89*$E89*$F89*K89/$H89,)</f>
        <v>22.500000056249998</v>
      </c>
      <c r="Q89" s="9">
        <f>$D89*$J89*$F89</f>
        <v>80</v>
      </c>
      <c r="R89" s="9">
        <f>$D89*$E89*$F89*$K89</f>
        <v>180</v>
      </c>
      <c r="S89" s="5">
        <v>150</v>
      </c>
      <c r="T89" s="12">
        <v>80</v>
      </c>
      <c r="U89" s="5">
        <f>VLOOKUP(H89,Standard_F_Rates,2)</f>
        <v>5</v>
      </c>
      <c r="V89" s="5">
        <f>MAX(VLOOKUP(R89,Alt_Dmg_Table,2),IF(C89="Medium",VLOOKUP(M89,Medium_Weapon_Damage_Table,2),IF(C89="Small",VLOOKUP(M89,Small_Weapon_Damage_Table,2),IF(C89="Projector",VLOOKUP(M89,Projector_Weapon_Damage_Table,2),VLOOKUP(M89,Large_Weapon_Damage_Table,2)))))</f>
        <v>8</v>
      </c>
      <c r="W89" s="5">
        <f>VLOOKUP(AA89+AB89,Standard_Accuracy_Table,2)</f>
        <v>8</v>
      </c>
      <c r="X89" s="5">
        <f>VLOOKUP(Y89,Standard_Range_Table,2)</f>
        <v>9</v>
      </c>
      <c r="Y89" s="5">
        <v>2500</v>
      </c>
      <c r="Z89" s="7">
        <f>$D89*$E89/$H89</f>
        <v>0.75000000187500004</v>
      </c>
      <c r="AA89" s="5">
        <v>0.5</v>
      </c>
      <c r="AB89" s="5"/>
    </row>
    <row r="90" spans="1:28" s="2" customFormat="1" x14ac:dyDescent="0.25">
      <c r="A90" s="5" t="s">
        <v>169</v>
      </c>
      <c r="B90" s="5" t="s">
        <v>68</v>
      </c>
      <c r="C90" s="5" t="s">
        <v>71</v>
      </c>
      <c r="D90" s="5">
        <f>IF(LEFT($A90,4) = "Dual",2,IF(LEFT($A90,6) = "Triple",3,1))</f>
        <v>2</v>
      </c>
      <c r="E90" s="5">
        <v>1</v>
      </c>
      <c r="F90" s="6">
        <v>1</v>
      </c>
      <c r="G90" s="5">
        <v>11</v>
      </c>
      <c r="H90" s="7">
        <f>IF(Table12[[#This Row],[Barrels]]&gt;1,Table12[[#This Row],[Recharge]]*1.33333333,Table12[[#This Row],[Recharge]])</f>
        <v>14.666666630000002</v>
      </c>
      <c r="I90" s="5">
        <v>220</v>
      </c>
      <c r="J90" s="5">
        <v>220</v>
      </c>
      <c r="K90" s="5">
        <v>220</v>
      </c>
      <c r="L90" s="7">
        <f>I90*$E90/$H90</f>
        <v>15.000000037499998</v>
      </c>
      <c r="M90" s="11">
        <f>IF($H90&lt;&gt;0,$D90*$E90*$F90*J90/$H90,)</f>
        <v>30.000000074999996</v>
      </c>
      <c r="N90" s="13">
        <f>IF($B90 = "Ballistic", 1.25*$M90,$M90)</f>
        <v>30.000000074999996</v>
      </c>
      <c r="O90" s="13">
        <f>IF($B90 = "Ballistic", $N90*1.5,$N90)</f>
        <v>30.000000074999996</v>
      </c>
      <c r="P90" s="7">
        <f>IF($H90&lt;&gt;0,$D90*$E90*$F90*K90/$H90,)</f>
        <v>30.000000074999996</v>
      </c>
      <c r="Q90" s="9">
        <f>$D90*$J90*$F90</f>
        <v>440</v>
      </c>
      <c r="R90" s="9">
        <f>$D90*$E90*$F90*$K90</f>
        <v>440</v>
      </c>
      <c r="S90" s="5"/>
      <c r="T90" s="12">
        <v>80</v>
      </c>
      <c r="U90" s="5">
        <f>VLOOKUP(H90,Standard_F_Rates,2)</f>
        <v>2</v>
      </c>
      <c r="V90" s="5">
        <f>MAX(VLOOKUP(R90,Alt_Dmg_Table,2),IF(C90="Medium",VLOOKUP(M90,Medium_Weapon_Damage_Table,2),IF(C90="Small",VLOOKUP(M90,Small_Weapon_Damage_Table,2),IF(C90="Projector",VLOOKUP(M90,Projector_Weapon_Damage_Table,2),VLOOKUP(M90,Large_Weapon_Damage_Table,2)))))</f>
        <v>8</v>
      </c>
      <c r="W90" s="5">
        <f>VLOOKUP(AA90+AB90,Standard_Accuracy_Table,2)</f>
        <v>10</v>
      </c>
      <c r="X90" s="5">
        <f>VLOOKUP(Y90,Standard_Range_Table,2)</f>
        <v>5</v>
      </c>
      <c r="Y90" s="5">
        <v>1100</v>
      </c>
      <c r="Z90" s="7">
        <f>$D90*$E90/$H90</f>
        <v>0.13636363670454543</v>
      </c>
      <c r="AA90" s="5">
        <v>0</v>
      </c>
      <c r="AB90" s="5"/>
    </row>
    <row r="91" spans="1:28" s="2" customFormat="1" x14ac:dyDescent="0.25">
      <c r="A91" s="27" t="s">
        <v>210</v>
      </c>
      <c r="B91" s="27" t="s">
        <v>16</v>
      </c>
      <c r="C91" s="27" t="s">
        <v>72</v>
      </c>
      <c r="D91" s="27">
        <f>IF(LEFT($A91,4) = "Dual",2,IF(LEFT($A91,6) = "Triple",3,1))</f>
        <v>1</v>
      </c>
      <c r="E91" s="27">
        <v>1</v>
      </c>
      <c r="F91" s="28">
        <v>1</v>
      </c>
      <c r="G91" s="27">
        <v>5</v>
      </c>
      <c r="H91" s="7">
        <f>IF(Table12[[#This Row],[Barrels]]&gt;1,Table12[[#This Row],[Recharge]]*1.33333333,Table12[[#This Row],[Recharge]])</f>
        <v>5</v>
      </c>
      <c r="I91" s="27">
        <v>150</v>
      </c>
      <c r="J91" s="27">
        <v>150</v>
      </c>
      <c r="K91" s="27">
        <v>150</v>
      </c>
      <c r="L91" s="29">
        <f>I91*$E91/$H91</f>
        <v>30</v>
      </c>
      <c r="M91" s="30">
        <f>IF($H91&lt;&gt;0,$D91*$E91*$F91*J91/$H91,)</f>
        <v>30</v>
      </c>
      <c r="N91" s="31">
        <f>IF($B91 = "Ballistic", 1.25*$M91,$M91)</f>
        <v>37.5</v>
      </c>
      <c r="O91" s="31">
        <f>IF($B91 = "Ballistic", $N91*1.5,$N91)</f>
        <v>56.25</v>
      </c>
      <c r="P91" s="29">
        <f>IF($H91&lt;&gt;0,$D91*$E91*$F91*K91/$H91,)</f>
        <v>30</v>
      </c>
      <c r="Q91" s="42">
        <f>$D91*$J91*$F91</f>
        <v>150</v>
      </c>
      <c r="R91" s="42">
        <f>$D91*$E91*$F91*$K91</f>
        <v>150</v>
      </c>
      <c r="S91" s="27">
        <v>50</v>
      </c>
      <c r="T91" s="33">
        <v>160</v>
      </c>
      <c r="U91" s="27">
        <f>VLOOKUP(H91,Standard_F_Rates,2)</f>
        <v>8</v>
      </c>
      <c r="V91" s="27">
        <f>MAX(VLOOKUP(R91,Alt_Dmg_Table,2),IF(C91="Medium",VLOOKUP(M91,Medium_Weapon_Damage_Table,2),IF(C91="Small",VLOOKUP(M91,Small_Weapon_Damage_Table,2),IF(C91="Projector",VLOOKUP(M91,Projector_Weapon_Damage_Table,2),VLOOKUP(M91,Large_Weapon_Damage_Table,2)))))</f>
        <v>1</v>
      </c>
      <c r="W91" s="27">
        <f>VLOOKUP(AA91+AB91,Standard_Accuracy_Table,2)</f>
        <v>3</v>
      </c>
      <c r="X91" s="27">
        <f>VLOOKUP(Y91,Standard_Range_Table,2)</f>
        <v>8</v>
      </c>
      <c r="Y91" s="27">
        <v>1850</v>
      </c>
      <c r="Z91" s="29">
        <f>$D91*$E91/$H91</f>
        <v>0.2</v>
      </c>
      <c r="AA91" s="10">
        <v>4</v>
      </c>
      <c r="AB91" s="10"/>
    </row>
    <row r="92" spans="1:28" s="2" customFormat="1" x14ac:dyDescent="0.25">
      <c r="A92" s="5" t="s">
        <v>41</v>
      </c>
      <c r="B92" s="5" t="s">
        <v>84</v>
      </c>
      <c r="C92" s="5" t="s">
        <v>55</v>
      </c>
      <c r="D92" s="5">
        <f>IF(LEFT($A92,4) = "Dual",2,IF(LEFT($A92,6) = "Triple",3,1))</f>
        <v>1</v>
      </c>
      <c r="E92" s="5">
        <v>1</v>
      </c>
      <c r="F92" s="6">
        <v>1</v>
      </c>
      <c r="G92" s="5">
        <v>6</v>
      </c>
      <c r="H92" s="7">
        <f>IF(Table12[[#This Row],[Barrels]]&gt;1,Table12[[#This Row],[Recharge]]*1.33333333,Table12[[#This Row],[Recharge]])</f>
        <v>6</v>
      </c>
      <c r="I92" s="5">
        <v>100</v>
      </c>
      <c r="J92" s="5">
        <v>180</v>
      </c>
      <c r="K92" s="5">
        <v>100</v>
      </c>
      <c r="L92" s="7">
        <f>I92*$E92/$H92</f>
        <v>16.666666666666668</v>
      </c>
      <c r="M92" s="11">
        <f>IF($H92&lt;&gt;0,$D92*$E92*$F92*J92/$H92,)</f>
        <v>30</v>
      </c>
      <c r="N92" s="13">
        <f>IF($B92 = "Ballistic", 1.25*$M92,$M92)</f>
        <v>30</v>
      </c>
      <c r="O92" s="13">
        <f>IF($B92 = "Ballistic", $N92*1.5,$N92)</f>
        <v>30</v>
      </c>
      <c r="P92" s="7">
        <f>IF($H92&lt;&gt;0,$D92*$E92*$F92*K92/$H92,)</f>
        <v>16.666666666666668</v>
      </c>
      <c r="Q92" s="9">
        <f>$D92*$J92*$F92</f>
        <v>180</v>
      </c>
      <c r="R92" s="9">
        <f>$D92*$E92*$F92*$K92</f>
        <v>100</v>
      </c>
      <c r="S92" s="5">
        <v>100</v>
      </c>
      <c r="T92" s="12">
        <v>60</v>
      </c>
      <c r="U92" s="5">
        <f>VLOOKUP(H92,Standard_F_Rates,2)</f>
        <v>7</v>
      </c>
      <c r="V92" s="5">
        <f>MAX(VLOOKUP(R92,Alt_Dmg_Table,2),IF(C92="Medium",VLOOKUP(M92,Medium_Weapon_Damage_Table,2),IF(C92="Small",VLOOKUP(M92,Small_Weapon_Damage_Table,2),IF(C92="Projector",VLOOKUP(M92,Projector_Weapon_Damage_Table,2),VLOOKUP(M92,Large_Weapon_Damage_Table,2)))))</f>
        <v>3</v>
      </c>
      <c r="W92" s="5">
        <f>VLOOKUP(AA92+AB92,Standard_Accuracy_Table,2)</f>
        <v>3</v>
      </c>
      <c r="X92" s="5">
        <f>VLOOKUP(Y92,Standard_Range_Table,2)</f>
        <v>4</v>
      </c>
      <c r="Y92" s="5">
        <v>1000</v>
      </c>
      <c r="Z92" s="7">
        <f>$D92*$E92/$H92</f>
        <v>0.16666666666666666</v>
      </c>
      <c r="AA92" s="5">
        <v>4</v>
      </c>
      <c r="AB92" s="5"/>
    </row>
    <row r="93" spans="1:28" s="2" customFormat="1" x14ac:dyDescent="0.25">
      <c r="A93" s="5" t="s">
        <v>87</v>
      </c>
      <c r="B93" s="5" t="s">
        <v>163</v>
      </c>
      <c r="C93" s="5" t="s">
        <v>55</v>
      </c>
      <c r="D93" s="5">
        <f>IF(LEFT($A93,4) = "Dual",2,IF(LEFT($A93,6) = "Triple",3,1))</f>
        <v>1</v>
      </c>
      <c r="E93" s="5">
        <v>1</v>
      </c>
      <c r="F93" s="6">
        <v>1</v>
      </c>
      <c r="G93" s="5">
        <v>1</v>
      </c>
      <c r="H93" s="7">
        <f>IF(Table12[[#This Row],[Barrels]]&gt;1,Table12[[#This Row],[Recharge]]*1.33333333,Table12[[#This Row],[Recharge]])</f>
        <v>1</v>
      </c>
      <c r="I93" s="5">
        <v>30</v>
      </c>
      <c r="J93" s="5">
        <v>30</v>
      </c>
      <c r="K93" s="5">
        <v>30</v>
      </c>
      <c r="L93" s="7">
        <f>I93*$E93/$H93</f>
        <v>30</v>
      </c>
      <c r="M93" s="11">
        <f>IF($H93&lt;&gt;0,$D93*$E93*$F93*J93/$H93,)</f>
        <v>30</v>
      </c>
      <c r="N93" s="13">
        <f>IF($B93 = "Ballistic", 1.25*$M93,$M93)</f>
        <v>30</v>
      </c>
      <c r="O93" s="13">
        <f>IF($B93 = "Ballistic", $N93*1.5,$N93)</f>
        <v>30</v>
      </c>
      <c r="P93" s="7">
        <f>IF($H93&lt;&gt;0,$D93*$E93*$F93*K93/$H93,)</f>
        <v>30</v>
      </c>
      <c r="Q93" s="9">
        <f>$D93*$J93*$F93</f>
        <v>30</v>
      </c>
      <c r="R93" s="9">
        <f>$D93*$E93*$F93*$K93</f>
        <v>30</v>
      </c>
      <c r="S93" s="5"/>
      <c r="T93" s="12">
        <v>60</v>
      </c>
      <c r="U93" s="5">
        <f>VLOOKUP(H93,Standard_F_Rates,2)</f>
        <v>10</v>
      </c>
      <c r="V93" s="5">
        <f>MAX(VLOOKUP(R93,Alt_Dmg_Table,2),IF(C93="Medium",VLOOKUP(M93,Medium_Weapon_Damage_Table,2),IF(C93="Small",VLOOKUP(M93,Small_Weapon_Damage_Table,2),IF(C93="Projector",VLOOKUP(M93,Projector_Weapon_Damage_Table,2),VLOOKUP(M93,Large_Weapon_Damage_Table,2)))))</f>
        <v>3</v>
      </c>
      <c r="W93" s="5">
        <f>VLOOKUP(AA93+AB93,Standard_Accuracy_Table,2)</f>
        <v>7</v>
      </c>
      <c r="X93" s="5">
        <f>VLOOKUP(Y93,Standard_Range_Table,2)</f>
        <v>3</v>
      </c>
      <c r="Y93" s="5">
        <v>750</v>
      </c>
      <c r="Z93" s="7">
        <f>$D93*$E93/$H93</f>
        <v>1</v>
      </c>
      <c r="AA93" s="5">
        <v>1</v>
      </c>
      <c r="AB93" s="5">
        <v>0.25</v>
      </c>
    </row>
    <row r="94" spans="1:28" s="2" customFormat="1" x14ac:dyDescent="0.25">
      <c r="A94" s="5" t="s">
        <v>109</v>
      </c>
      <c r="B94" s="5" t="s">
        <v>53</v>
      </c>
      <c r="C94" s="5" t="s">
        <v>72</v>
      </c>
      <c r="D94" s="5">
        <f>IF(LEFT($A94,4) = "Dual",2,IF(LEFT($A94,6) = "Triple",3,1))</f>
        <v>1</v>
      </c>
      <c r="E94" s="5">
        <v>1</v>
      </c>
      <c r="F94" s="6">
        <v>1</v>
      </c>
      <c r="G94" s="5">
        <v>5</v>
      </c>
      <c r="H94" s="7">
        <f>IF(Table12[[#This Row],[Barrels]]&gt;1,Table12[[#This Row],[Recharge]]*1.33333333,Table12[[#This Row],[Recharge]])</f>
        <v>5</v>
      </c>
      <c r="I94" s="5">
        <v>150</v>
      </c>
      <c r="J94" s="5">
        <v>150</v>
      </c>
      <c r="K94" s="5">
        <v>100</v>
      </c>
      <c r="L94" s="7">
        <f>I94*$E94/$H94</f>
        <v>30</v>
      </c>
      <c r="M94" s="11">
        <f>IF($H94&lt;&gt;0,$D94*$E94*$F94*J94/$H94,)</f>
        <v>30</v>
      </c>
      <c r="N94" s="13">
        <f>IF($B94 = "Ballistic", 1.25*$M94,$M94)</f>
        <v>30</v>
      </c>
      <c r="O94" s="13">
        <f>IF($B94 = "Ballistic", $N94*1.5,$N94)</f>
        <v>30</v>
      </c>
      <c r="P94" s="7">
        <f>IF($H94&lt;&gt;0,$D94*$E94*$F94*K94/$H94,)</f>
        <v>20</v>
      </c>
      <c r="Q94" s="9">
        <f>$D94*$J94*$F94</f>
        <v>150</v>
      </c>
      <c r="R94" s="9">
        <f>$D94*$E94*$F94*$K94</f>
        <v>100</v>
      </c>
      <c r="S94" s="5"/>
      <c r="T94" s="12">
        <v>100</v>
      </c>
      <c r="U94" s="5">
        <f>VLOOKUP(H94,Standard_F_Rates,2)</f>
        <v>8</v>
      </c>
      <c r="V94" s="5">
        <f>MAX(VLOOKUP(R94,Alt_Dmg_Table,2),IF(C94="Medium",VLOOKUP(M94,Medium_Weapon_Damage_Table,2),IF(C94="Small",VLOOKUP(M94,Small_Weapon_Damage_Table,2),IF(C94="Projector",VLOOKUP(M94,Projector_Weapon_Damage_Table,2),VLOOKUP(M94,Large_Weapon_Damage_Table,2)))))</f>
        <v>1</v>
      </c>
      <c r="W94" s="5">
        <f>VLOOKUP(AA94+AB94,Standard_Accuracy_Table,2)</f>
        <v>5</v>
      </c>
      <c r="X94" s="5">
        <f>VLOOKUP(Y94,Standard_Range_Table,2)</f>
        <v>3</v>
      </c>
      <c r="Y94" s="5">
        <v>650</v>
      </c>
      <c r="Z94" s="7">
        <f>$D94*$E94/$H94</f>
        <v>0.2</v>
      </c>
      <c r="AA94" s="5">
        <v>2</v>
      </c>
      <c r="AB94" s="5"/>
    </row>
    <row r="95" spans="1:28" s="2" customFormat="1" x14ac:dyDescent="0.25">
      <c r="A95" s="5" t="s">
        <v>94</v>
      </c>
      <c r="B95" s="5" t="s">
        <v>16</v>
      </c>
      <c r="C95" s="5" t="s">
        <v>55</v>
      </c>
      <c r="D95" s="5">
        <f>IF(LEFT($A95,4) = "Dual",2,IF(LEFT($A95,6) = "Triple",3,1))</f>
        <v>1</v>
      </c>
      <c r="E95" s="5">
        <v>1</v>
      </c>
      <c r="F95" s="6">
        <v>1</v>
      </c>
      <c r="G95" s="5">
        <v>5</v>
      </c>
      <c r="H95" s="7">
        <f>IF(Table12[[#This Row],[Barrels]]&gt;1,Table12[[#This Row],[Recharge]]*1.33333333,Table12[[#This Row],[Recharge]])</f>
        <v>5</v>
      </c>
      <c r="I95" s="5">
        <v>136</v>
      </c>
      <c r="J95" s="5">
        <v>136</v>
      </c>
      <c r="K95" s="5">
        <v>136</v>
      </c>
      <c r="L95" s="7">
        <f>I95*$E95/$H95</f>
        <v>27.2</v>
      </c>
      <c r="M95" s="11">
        <f>IF($H95&lt;&gt;0,$D95*$E95*$F95*J95/$H95,)</f>
        <v>27.2</v>
      </c>
      <c r="N95" s="13">
        <f>IF($B95 = "Ballistic", 1.25*$M95,$M95)</f>
        <v>34</v>
      </c>
      <c r="O95" s="13">
        <f>IF($B95 = "Ballistic", $N95*1.5,$N95)</f>
        <v>51</v>
      </c>
      <c r="P95" s="7">
        <f>IF($H95&lt;&gt;0,$D95*$E95*$F95*K95/$H95,)</f>
        <v>27.2</v>
      </c>
      <c r="Q95" s="9">
        <f>$D95*$J95*$F95</f>
        <v>136</v>
      </c>
      <c r="R95" s="9">
        <f>$D95*$E95*$F95*$K95</f>
        <v>136</v>
      </c>
      <c r="S95" s="5">
        <v>95</v>
      </c>
      <c r="T95" s="12">
        <v>60</v>
      </c>
      <c r="U95" s="5">
        <f>VLOOKUP(H95,Standard_F_Rates,2)</f>
        <v>8</v>
      </c>
      <c r="V95" s="5">
        <f>MAX(VLOOKUP(R95,Alt_Dmg_Table,2),IF(C95="Medium",VLOOKUP(M95,Medium_Weapon_Damage_Table,2),IF(C95="Small",VLOOKUP(M95,Small_Weapon_Damage_Table,2),IF(C95="Projector",VLOOKUP(M95,Projector_Weapon_Damage_Table,2),VLOOKUP(M95,Large_Weapon_Damage_Table,2)))))</f>
        <v>3</v>
      </c>
      <c r="W95" s="5">
        <f>VLOOKUP(AA95+AB95,Standard_Accuracy_Table,2)</f>
        <v>3</v>
      </c>
      <c r="X95" s="5">
        <f>VLOOKUP(Y95,Standard_Range_Table,2)</f>
        <v>5</v>
      </c>
      <c r="Y95" s="5">
        <v>1200</v>
      </c>
      <c r="Z95" s="7">
        <f>$D95*$E95/$H95</f>
        <v>0.2</v>
      </c>
      <c r="AA95" s="5">
        <v>4</v>
      </c>
      <c r="AB95" s="5"/>
    </row>
    <row r="96" spans="1:28" s="2" customFormat="1" x14ac:dyDescent="0.25">
      <c r="A96" s="5" t="s">
        <v>137</v>
      </c>
      <c r="B96" s="5" t="s">
        <v>67</v>
      </c>
      <c r="C96" s="5" t="s">
        <v>71</v>
      </c>
      <c r="D96" s="5">
        <f>IF(LEFT($A96,4) = "Dual",2,IF(LEFT($A96,6) = "Triple",3,1))</f>
        <v>2</v>
      </c>
      <c r="E96" s="5">
        <v>3</v>
      </c>
      <c r="F96" s="6">
        <v>1</v>
      </c>
      <c r="G96" s="5">
        <v>3</v>
      </c>
      <c r="H96" s="7">
        <f>IF(Table12[[#This Row],[Barrels]]&gt;1,Table12[[#This Row],[Recharge]]*1.33333333,Table12[[#This Row],[Recharge]])</f>
        <v>3.9999999900000001</v>
      </c>
      <c r="I96" s="5">
        <v>18</v>
      </c>
      <c r="J96" s="5">
        <v>16</v>
      </c>
      <c r="K96" s="5">
        <v>14</v>
      </c>
      <c r="L96" s="7">
        <f>I96*$E96/$H96</f>
        <v>13.50000003375</v>
      </c>
      <c r="M96" s="11">
        <f>IF($H96&lt;&gt;0,$D96*$E96*$F96*J96/$H96,)</f>
        <v>24.000000060000001</v>
      </c>
      <c r="N96" s="13">
        <f>IF($B96 = "Ballistic", 1.25*$M96,$M96)</f>
        <v>24.000000060000001</v>
      </c>
      <c r="O96" s="13">
        <f>IF($B96 = "Ballistic", $N96*1.5,$N96)</f>
        <v>24.000000060000001</v>
      </c>
      <c r="P96" s="7">
        <f>IF($H96&lt;&gt;0,$D96*$E96*$F96*K96/$H96,)</f>
        <v>21.000000052499999</v>
      </c>
      <c r="Q96" s="9">
        <f>$D96*$J96*$F96</f>
        <v>32</v>
      </c>
      <c r="R96" s="9">
        <f>$D96*$E96*$F96*$K96</f>
        <v>84</v>
      </c>
      <c r="S96" s="5">
        <v>70</v>
      </c>
      <c r="T96" s="12">
        <v>60</v>
      </c>
      <c r="U96" s="5">
        <f>VLOOKUP(H96,Standard_F_Rates,2)</f>
        <v>8</v>
      </c>
      <c r="V96" s="5">
        <f>MAX(VLOOKUP(R96,Alt_Dmg_Table,2),IF(C96="Medium",VLOOKUP(M96,Medium_Weapon_Damage_Table,2),IF(C96="Small",VLOOKUP(M96,Small_Weapon_Damage_Table,2),IF(C96="Projector",VLOOKUP(M96,Projector_Weapon_Damage_Table,2),VLOOKUP(M96,Large_Weapon_Damage_Table,2)))))</f>
        <v>6</v>
      </c>
      <c r="W96" s="5">
        <f>VLOOKUP(AA96+AB96,Standard_Accuracy_Table,2)</f>
        <v>7</v>
      </c>
      <c r="X96" s="5">
        <f>VLOOKUP(Y96,Standard_Range_Table,2)</f>
        <v>7</v>
      </c>
      <c r="Y96" s="5">
        <v>1750</v>
      </c>
      <c r="Z96" s="7">
        <f>$D96*$E96/$H96</f>
        <v>1.5000000037500001</v>
      </c>
      <c r="AA96" s="5">
        <v>1</v>
      </c>
      <c r="AB96" s="5"/>
    </row>
    <row r="97" spans="1:28" s="2" customFormat="1" x14ac:dyDescent="0.25">
      <c r="A97" s="5" t="s">
        <v>81</v>
      </c>
      <c r="B97" s="5" t="s">
        <v>84</v>
      </c>
      <c r="C97" s="5" t="s">
        <v>55</v>
      </c>
      <c r="D97" s="5">
        <f>IF(LEFT($A97,4) = "Dual",2,IF(LEFT($A97,6) = "Triple",3,1))</f>
        <v>1</v>
      </c>
      <c r="E97" s="5">
        <v>1</v>
      </c>
      <c r="F97" s="6">
        <v>1</v>
      </c>
      <c r="G97" s="5">
        <v>6</v>
      </c>
      <c r="H97" s="7">
        <f>IF(Table12[[#This Row],[Barrels]]&gt;1,Table12[[#This Row],[Recharge]]*1.33333333,Table12[[#This Row],[Recharge]])</f>
        <v>6</v>
      </c>
      <c r="I97" s="5">
        <v>80</v>
      </c>
      <c r="J97" s="5">
        <v>144</v>
      </c>
      <c r="K97" s="5">
        <v>80</v>
      </c>
      <c r="L97" s="7">
        <f>I97*$E97/$H97</f>
        <v>13.333333333333334</v>
      </c>
      <c r="M97" s="11">
        <f>IF($H97&lt;&gt;0,$D97*$E97*$F97*J97/$H97,)</f>
        <v>24</v>
      </c>
      <c r="N97" s="13">
        <f>IF($B97 = "Ballistic", 1.25*$M97,$M97)</f>
        <v>24</v>
      </c>
      <c r="O97" s="13">
        <f>IF($B97 = "Ballistic", $N97*1.5,$N97)</f>
        <v>24</v>
      </c>
      <c r="P97" s="7">
        <f>IF($H97&lt;&gt;0,$D97*$E97*$F97*K97/$H97,)</f>
        <v>13.333333333333334</v>
      </c>
      <c r="Q97" s="9">
        <f>$D97*$J97*$F97</f>
        <v>144</v>
      </c>
      <c r="R97" s="9">
        <f>$D97*$E97*$F97*$K97</f>
        <v>80</v>
      </c>
      <c r="S97" s="5">
        <v>16</v>
      </c>
      <c r="T97" s="12">
        <v>60</v>
      </c>
      <c r="U97" s="5">
        <f>VLOOKUP(H97,Standard_F_Rates,2)</f>
        <v>7</v>
      </c>
      <c r="V97" s="5">
        <f>MAX(VLOOKUP(R97,Alt_Dmg_Table,2),IF(C97="Medium",VLOOKUP(M97,Medium_Weapon_Damage_Table,2),IF(C97="Small",VLOOKUP(M97,Small_Weapon_Damage_Table,2),IF(C97="Projector",VLOOKUP(M97,Projector_Weapon_Damage_Table,2),VLOOKUP(M97,Large_Weapon_Damage_Table,2)))))</f>
        <v>2</v>
      </c>
      <c r="W97" s="5">
        <f>VLOOKUP(AA97+AB97,Standard_Accuracy_Table,2)</f>
        <v>3</v>
      </c>
      <c r="X97" s="5">
        <f>VLOOKUP(Y97,Standard_Range_Table,2)</f>
        <v>4</v>
      </c>
      <c r="Y97" s="5">
        <v>1000</v>
      </c>
      <c r="Z97" s="7">
        <f>$D97*$E97/$H97</f>
        <v>0.16666666666666666</v>
      </c>
      <c r="AA97" s="5">
        <v>4</v>
      </c>
      <c r="AB97" s="5"/>
    </row>
    <row r="98" spans="1:28" s="2" customFormat="1" x14ac:dyDescent="0.25">
      <c r="A98" s="5" t="s">
        <v>113</v>
      </c>
      <c r="B98" s="5" t="s">
        <v>111</v>
      </c>
      <c r="C98" s="5" t="s">
        <v>19</v>
      </c>
      <c r="D98" s="5">
        <f>IF(LEFT($A98,4) = "Dual",2,IF(LEFT($A98,6) = "Triple",3,1))</f>
        <v>1</v>
      </c>
      <c r="E98" s="5">
        <v>1</v>
      </c>
      <c r="F98" s="6">
        <v>2.5</v>
      </c>
      <c r="G98" s="5">
        <v>22</v>
      </c>
      <c r="H98" s="7">
        <f>IF(Table12[[#This Row],[Barrels]]&gt;1,Table12[[#This Row],[Recharge]]*1.33333333,Table12[[#This Row],[Recharge]])</f>
        <v>22</v>
      </c>
      <c r="I98" s="5">
        <v>200</v>
      </c>
      <c r="J98" s="5">
        <v>200</v>
      </c>
      <c r="K98" s="5">
        <v>200</v>
      </c>
      <c r="L98" s="7">
        <f>I98*$E98/$H98</f>
        <v>9.0909090909090917</v>
      </c>
      <c r="M98" s="11">
        <f>IF($H98&lt;&gt;0,$D98*$E98*$F98*J98/$H98,)</f>
        <v>22.727272727272727</v>
      </c>
      <c r="N98" s="13">
        <f>IF($B98 = "Ballistic", 1.25*$M98,$M98)</f>
        <v>22.727272727272727</v>
      </c>
      <c r="O98" s="13">
        <f>IF($B98 = "Ballistic", $N98*1.5,$N98)</f>
        <v>22.727272727272727</v>
      </c>
      <c r="P98" s="7">
        <f>IF($H98&lt;&gt;0,$D98*$E98*$F98*K98/$H98,)</f>
        <v>22.727272727272727</v>
      </c>
      <c r="Q98" s="9">
        <f>$D98*$J98*$F98</f>
        <v>500</v>
      </c>
      <c r="R98" s="9">
        <f>$D98*$E98*$F98*$K98</f>
        <v>500</v>
      </c>
      <c r="S98" s="5">
        <v>200</v>
      </c>
      <c r="T98" s="12">
        <v>80</v>
      </c>
      <c r="U98" s="5">
        <f>VLOOKUP(H98,Standard_F_Rates,2)</f>
        <v>1</v>
      </c>
      <c r="V98" s="5">
        <f>MAX(VLOOKUP(R98,Alt_Dmg_Table,2),IF(C98="Medium",VLOOKUP(M98,Medium_Weapon_Damage_Table,2),IF(C98="Small",VLOOKUP(M98,Small_Weapon_Damage_Table,2),IF(C98="Projector",VLOOKUP(M98,Projector_Weapon_Damage_Table,2),VLOOKUP(M98,Large_Weapon_Damage_Table,2)))))</f>
        <v>5</v>
      </c>
      <c r="W98" s="5">
        <f>VLOOKUP(AA98+AB98,Standard_Accuracy_Table,2)</f>
        <v>5</v>
      </c>
      <c r="X98" s="5">
        <f>VLOOKUP(Y98,Standard_Range_Table,2)</f>
        <v>5</v>
      </c>
      <c r="Y98" s="5">
        <v>1200</v>
      </c>
      <c r="Z98" s="7">
        <f>$D98*$E98/$H98</f>
        <v>4.5454545454545456E-2</v>
      </c>
      <c r="AA98" s="5">
        <v>2</v>
      </c>
      <c r="AB98" s="5"/>
    </row>
    <row r="99" spans="1:28" s="2" customFormat="1" x14ac:dyDescent="0.25">
      <c r="A99" s="5" t="s">
        <v>112</v>
      </c>
      <c r="B99" s="5" t="s">
        <v>111</v>
      </c>
      <c r="C99" s="5" t="s">
        <v>65</v>
      </c>
      <c r="D99" s="5">
        <f>IF(LEFT($A99,4) = "Dual",2,IF(LEFT($A99,6) = "Triple",3,1))</f>
        <v>1</v>
      </c>
      <c r="E99" s="5">
        <v>1</v>
      </c>
      <c r="F99" s="6">
        <v>2.5</v>
      </c>
      <c r="G99" s="5">
        <v>22</v>
      </c>
      <c r="H99" s="7">
        <f>IF(Table12[[#This Row],[Barrels]]&gt;1,Table12[[#This Row],[Recharge]]*1.33333333,Table12[[#This Row],[Recharge]])</f>
        <v>22</v>
      </c>
      <c r="I99" s="5">
        <v>200</v>
      </c>
      <c r="J99" s="5">
        <v>200</v>
      </c>
      <c r="K99" s="5">
        <v>200</v>
      </c>
      <c r="L99" s="7">
        <f>I99*$E99/$H99</f>
        <v>9.0909090909090917</v>
      </c>
      <c r="M99" s="11">
        <f>IF($H99&lt;&gt;0,$D99*$E99*$F99*J99/$H99,)</f>
        <v>22.727272727272727</v>
      </c>
      <c r="N99" s="13">
        <f>IF($B99 = "Ballistic", 1.25*$M99,$M99)</f>
        <v>22.727272727272727</v>
      </c>
      <c r="O99" s="13">
        <f>IF($B99 = "Ballistic", $N99*1.5,$N99)</f>
        <v>22.727272727272727</v>
      </c>
      <c r="P99" s="7">
        <f>IF($H99&lt;&gt;0,$D99*$E99*$F99*K99/$H99,)</f>
        <v>22.727272727272727</v>
      </c>
      <c r="Q99" s="9">
        <f>$D99*$J99*$F99</f>
        <v>500</v>
      </c>
      <c r="R99" s="9">
        <f>$D99*$E99*$F99*$K99</f>
        <v>500</v>
      </c>
      <c r="S99" s="5"/>
      <c r="T99" s="12">
        <v>80</v>
      </c>
      <c r="U99" s="5">
        <f>VLOOKUP(H99,Standard_F_Rates,2)</f>
        <v>1</v>
      </c>
      <c r="V99" s="5">
        <f>MAX(VLOOKUP(R99,Alt_Dmg_Table,2),IF(C99="Medium",VLOOKUP(M99,Medium_Weapon_Damage_Table,2),IF(C99="Small",VLOOKUP(M99,Small_Weapon_Damage_Table,2),IF(C99="Projector",VLOOKUP(M99,Projector_Weapon_Damage_Table,2),VLOOKUP(M99,Large_Weapon_Damage_Table,2)))))</f>
        <v>5</v>
      </c>
      <c r="W99" s="5">
        <f>VLOOKUP(AA99+AB99,Standard_Accuracy_Table,2)</f>
        <v>5</v>
      </c>
      <c r="X99" s="5">
        <f>VLOOKUP(Y99,Standard_Range_Table,2)</f>
        <v>5</v>
      </c>
      <c r="Y99" s="5">
        <v>1200</v>
      </c>
      <c r="Z99" s="7">
        <f>$D99*$E99/$H99</f>
        <v>4.5454545454545456E-2</v>
      </c>
      <c r="AA99" s="5">
        <v>2</v>
      </c>
      <c r="AB99" s="5"/>
    </row>
    <row r="100" spans="1:28" s="2" customFormat="1" x14ac:dyDescent="0.25">
      <c r="A100" s="5" t="s">
        <v>136</v>
      </c>
      <c r="B100" s="5" t="s">
        <v>163</v>
      </c>
      <c r="C100" s="5" t="s">
        <v>71</v>
      </c>
      <c r="D100" s="5">
        <f>IF(LEFT($A100,4) = "Dual",2,IF(LEFT($A100,6) = "Triple",3,1))</f>
        <v>2</v>
      </c>
      <c r="E100" s="5">
        <v>1</v>
      </c>
      <c r="F100" s="6">
        <v>1</v>
      </c>
      <c r="G100" s="5">
        <v>1</v>
      </c>
      <c r="H100" s="7">
        <f>IF(Table12[[#This Row],[Barrels]]&gt;1,Table12[[#This Row],[Recharge]]*1.33333333,Table12[[#This Row],[Recharge]])</f>
        <v>1.3333333300000001</v>
      </c>
      <c r="I100" s="5">
        <v>15</v>
      </c>
      <c r="J100" s="5">
        <v>15</v>
      </c>
      <c r="K100" s="5">
        <v>15</v>
      </c>
      <c r="L100" s="7">
        <f>I100*$E100/$H100</f>
        <v>11.250000028124999</v>
      </c>
      <c r="M100" s="11">
        <f>IF($H100&lt;&gt;0,$D100*$E100*$F100*J100/$H100,)</f>
        <v>22.500000056249998</v>
      </c>
      <c r="N100" s="13">
        <f>IF($B100 = "Ballistic", 1.25*$M100,$M100)</f>
        <v>22.500000056249998</v>
      </c>
      <c r="O100" s="13">
        <f>IF($B100 = "Ballistic", $N100*1.5,$N100)</f>
        <v>22.500000056249998</v>
      </c>
      <c r="P100" s="7">
        <f>IF($H100&lt;&gt;0,$D100*$E100*$F100*K100/$H100,)</f>
        <v>22.500000056249998</v>
      </c>
      <c r="Q100" s="9">
        <f>$D100*$J100*$F100</f>
        <v>30</v>
      </c>
      <c r="R100" s="9">
        <f>$D100*$E100*$F100*$K100</f>
        <v>30</v>
      </c>
      <c r="S100" s="5"/>
      <c r="T100" s="12">
        <v>60</v>
      </c>
      <c r="U100" s="5">
        <f>VLOOKUP(H100,Standard_F_Rates,2)</f>
        <v>9</v>
      </c>
      <c r="V100" s="5">
        <f>MAX(VLOOKUP(R100,Alt_Dmg_Table,2),IF(C100="Medium",VLOOKUP(M100,Medium_Weapon_Damage_Table,2),IF(C100="Small",VLOOKUP(M100,Small_Weapon_Damage_Table,2),IF(C100="Projector",VLOOKUP(M100,Projector_Weapon_Damage_Table,2),VLOOKUP(M100,Large_Weapon_Damage_Table,2)))))</f>
        <v>6</v>
      </c>
      <c r="W100" s="5">
        <f>VLOOKUP(AA100+AB100,Standard_Accuracy_Table,2)</f>
        <v>7</v>
      </c>
      <c r="X100" s="5">
        <f>VLOOKUP(Y100,Standard_Range_Table,2)</f>
        <v>2</v>
      </c>
      <c r="Y100" s="5">
        <v>500</v>
      </c>
      <c r="Z100" s="7">
        <f>$D100*$E100/$H100</f>
        <v>1.5000000037499999</v>
      </c>
      <c r="AA100" s="5">
        <v>1</v>
      </c>
      <c r="AB100" s="5">
        <v>0.25</v>
      </c>
    </row>
    <row r="101" spans="1:28" s="2" customFormat="1" x14ac:dyDescent="0.25">
      <c r="A101" s="5" t="s">
        <v>99</v>
      </c>
      <c r="B101" s="5" t="s">
        <v>16</v>
      </c>
      <c r="C101" s="5" t="s">
        <v>55</v>
      </c>
      <c r="D101" s="5">
        <f>IF(LEFT($A101,4) = "Dual",2,IF(LEFT($A101,6) = "Triple",3,1))</f>
        <v>1</v>
      </c>
      <c r="E101" s="5">
        <v>1</v>
      </c>
      <c r="F101" s="6">
        <v>1</v>
      </c>
      <c r="G101" s="5">
        <v>8</v>
      </c>
      <c r="H101" s="7">
        <f>IF(Table12[[#This Row],[Barrels]]&gt;1,Table12[[#This Row],[Recharge]]*1.33333333,Table12[[#This Row],[Recharge]])</f>
        <v>8</v>
      </c>
      <c r="I101" s="5">
        <v>170</v>
      </c>
      <c r="J101" s="5">
        <v>170</v>
      </c>
      <c r="K101" s="5">
        <v>170</v>
      </c>
      <c r="L101" s="7">
        <f>I101*$E101/$H101</f>
        <v>21.25</v>
      </c>
      <c r="M101" s="11">
        <f>IF($H101&lt;&gt;0,$D101*$E101*$F101*J101/$H101,)</f>
        <v>21.25</v>
      </c>
      <c r="N101" s="13">
        <f>IF($B101 = "Ballistic", 1.25*$M101,$M101)</f>
        <v>26.5625</v>
      </c>
      <c r="O101" s="13">
        <f>IF($B101 = "Ballistic", $N101*1.5,$N101)</f>
        <v>39.84375</v>
      </c>
      <c r="P101" s="7">
        <f>IF($H101&lt;&gt;0,$D101*$E101*$F101*K101/$H101,)</f>
        <v>21.25</v>
      </c>
      <c r="Q101" s="9">
        <f>$D101*$J101*$F101</f>
        <v>170</v>
      </c>
      <c r="R101" s="9">
        <f>$D101*$E101*$F101*$K101</f>
        <v>170</v>
      </c>
      <c r="S101" s="5"/>
      <c r="T101" s="12">
        <v>60</v>
      </c>
      <c r="U101" s="5">
        <f>VLOOKUP(H101,Standard_F_Rates,2)</f>
        <v>5</v>
      </c>
      <c r="V101" s="5">
        <f>MAX(VLOOKUP(R101,Alt_Dmg_Table,2),IF(C101="Medium",VLOOKUP(M101,Medium_Weapon_Damage_Table,2),IF(C101="Small",VLOOKUP(M101,Small_Weapon_Damage_Table,2),IF(C101="Projector",VLOOKUP(M101,Projector_Weapon_Damage_Table,2),VLOOKUP(M101,Large_Weapon_Damage_Table,2)))))</f>
        <v>2</v>
      </c>
      <c r="W101" s="5">
        <f>VLOOKUP(AA101+AB101,Standard_Accuracy_Table,2)</f>
        <v>7</v>
      </c>
      <c r="X101" s="5">
        <f>VLOOKUP(Y101,Standard_Range_Table,2)</f>
        <v>8</v>
      </c>
      <c r="Y101" s="5">
        <v>1800</v>
      </c>
      <c r="Z101" s="7">
        <f>$D101*$E101/$H101</f>
        <v>0.125</v>
      </c>
      <c r="AA101" s="5">
        <v>1</v>
      </c>
      <c r="AB101" s="5"/>
    </row>
    <row r="102" spans="1:28" s="2" customFormat="1" x14ac:dyDescent="0.25">
      <c r="A102" s="5" t="s">
        <v>138</v>
      </c>
      <c r="B102" s="5" t="s">
        <v>68</v>
      </c>
      <c r="C102" s="5" t="s">
        <v>71</v>
      </c>
      <c r="D102" s="5">
        <f>IF(LEFT($A102,4) = "Dual",2,IF(LEFT($A102,6) = "Triple",3,1))</f>
        <v>2</v>
      </c>
      <c r="E102" s="5">
        <v>1</v>
      </c>
      <c r="F102" s="6">
        <v>0.75</v>
      </c>
      <c r="G102" s="5">
        <v>8</v>
      </c>
      <c r="H102" s="7">
        <f>IF(Table12[[#This Row],[Barrels]]&gt;1,Table12[[#This Row],[Recharge]]*1.33333333,Table12[[#This Row],[Recharge]])</f>
        <v>10.666666640000001</v>
      </c>
      <c r="I102" s="5">
        <v>145</v>
      </c>
      <c r="J102" s="5">
        <v>145</v>
      </c>
      <c r="K102" s="5">
        <v>145</v>
      </c>
      <c r="L102" s="7">
        <f>I102*$E102/$H102</f>
        <v>13.593750033984374</v>
      </c>
      <c r="M102" s="11">
        <f>IF($H102&lt;&gt;0,$D102*$E102*$F102*J102/$H102,)</f>
        <v>20.39062505097656</v>
      </c>
      <c r="N102" s="13">
        <f>IF($B102 = "Ballistic", 1.25*$M102,$M102)</f>
        <v>20.39062505097656</v>
      </c>
      <c r="O102" s="13">
        <f>IF($B102 = "Ballistic", $N102*1.5,$N102)</f>
        <v>20.39062505097656</v>
      </c>
      <c r="P102" s="7">
        <f>IF($H102&lt;&gt;0,$D102*$E102*$F102*K102/$H102,)</f>
        <v>20.39062505097656</v>
      </c>
      <c r="Q102" s="9">
        <f>$D102*$J102*$F102</f>
        <v>217.5</v>
      </c>
      <c r="R102" s="9">
        <f>$D102*$E102*$F102*$K102</f>
        <v>217.5</v>
      </c>
      <c r="S102" s="5"/>
      <c r="T102" s="12">
        <v>60</v>
      </c>
      <c r="U102" s="5">
        <f>VLOOKUP(H102,Standard_F_Rates,2)</f>
        <v>3</v>
      </c>
      <c r="V102" s="5">
        <f>MAX(VLOOKUP(R102,Alt_Dmg_Table,2),IF(C102="Medium",VLOOKUP(M102,Medium_Weapon_Damage_Table,2),IF(C102="Small",VLOOKUP(M102,Small_Weapon_Damage_Table,2),IF(C102="Projector",VLOOKUP(M102,Projector_Weapon_Damage_Table,2),VLOOKUP(M102,Large_Weapon_Damage_Table,2)))))</f>
        <v>6</v>
      </c>
      <c r="W102" s="5">
        <f>VLOOKUP(AA102+AB102,Standard_Accuracy_Table,2)</f>
        <v>10</v>
      </c>
      <c r="X102" s="5">
        <f>VLOOKUP(Y102,Standard_Range_Table,2)</f>
        <v>4</v>
      </c>
      <c r="Y102" s="5">
        <v>900</v>
      </c>
      <c r="Z102" s="7">
        <f>$D102*$E102/$H102</f>
        <v>0.18750000046874998</v>
      </c>
      <c r="AA102" s="5">
        <v>0</v>
      </c>
      <c r="AB102" s="5"/>
    </row>
    <row r="103" spans="1:28" s="2" customFormat="1" x14ac:dyDescent="0.25">
      <c r="A103" s="5" t="s">
        <v>167</v>
      </c>
      <c r="B103" s="5" t="s">
        <v>67</v>
      </c>
      <c r="C103" s="5" t="s">
        <v>71</v>
      </c>
      <c r="D103" s="5">
        <f>IF(LEFT($A103,4) = "Dual",2,IF(LEFT($A103,6) = "Triple",3,1))</f>
        <v>1</v>
      </c>
      <c r="E103" s="5">
        <v>3</v>
      </c>
      <c r="F103" s="6">
        <v>1</v>
      </c>
      <c r="G103" s="5">
        <v>6</v>
      </c>
      <c r="H103" s="7">
        <f>IF(Table12[[#This Row],[Barrels]]&gt;1,Table12[[#This Row],[Recharge]]*1.33333333,Table12[[#This Row],[Recharge]])</f>
        <v>6</v>
      </c>
      <c r="I103" s="5">
        <v>45</v>
      </c>
      <c r="J103" s="5">
        <v>40</v>
      </c>
      <c r="K103" s="5">
        <v>30</v>
      </c>
      <c r="L103" s="7">
        <f>I103*$E103/$H103</f>
        <v>22.5</v>
      </c>
      <c r="M103" s="11">
        <f>IF($H103&lt;&gt;0,$D103*$E103*$F103*J103/$H103,)</f>
        <v>20</v>
      </c>
      <c r="N103" s="13">
        <f>IF($B103 = "Ballistic", 1.25*$M103,$M103)</f>
        <v>20</v>
      </c>
      <c r="O103" s="13">
        <f>IF($B103 = "Ballistic", $N103*1.5,$N103)</f>
        <v>20</v>
      </c>
      <c r="P103" s="7">
        <f>IF($H103&lt;&gt;0,$D103*$E103*$F103*K103/$H103,)</f>
        <v>15</v>
      </c>
      <c r="Q103" s="9">
        <f>$D103*$J103*$F103</f>
        <v>40</v>
      </c>
      <c r="R103" s="9">
        <f>$D103*$E103*$F103*$K103</f>
        <v>90</v>
      </c>
      <c r="S103" s="5">
        <v>150</v>
      </c>
      <c r="T103" s="12">
        <v>40</v>
      </c>
      <c r="U103" s="5">
        <f>VLOOKUP(H103,Standard_F_Rates,2)</f>
        <v>7</v>
      </c>
      <c r="V103" s="5">
        <f>MAX(VLOOKUP(R103,Alt_Dmg_Table,2),IF(C103="Medium",VLOOKUP(M103,Medium_Weapon_Damage_Table,2),IF(C103="Small",VLOOKUP(M103,Small_Weapon_Damage_Table,2),IF(C103="Projector",VLOOKUP(M103,Projector_Weapon_Damage_Table,2),VLOOKUP(M103,Large_Weapon_Damage_Table,2)))))</f>
        <v>6</v>
      </c>
      <c r="W103" s="5">
        <f>VLOOKUP(AA103+AB103,Standard_Accuracy_Table,2)</f>
        <v>8</v>
      </c>
      <c r="X103" s="5">
        <f>VLOOKUP(Y103,Standard_Range_Table,2)</f>
        <v>9</v>
      </c>
      <c r="Y103" s="5">
        <v>2500</v>
      </c>
      <c r="Z103" s="7">
        <f>$D103*$E103/$H103</f>
        <v>0.5</v>
      </c>
      <c r="AA103" s="5">
        <v>0.5</v>
      </c>
      <c r="AB103" s="5"/>
    </row>
    <row r="104" spans="1:28" s="2" customFormat="1" x14ac:dyDescent="0.25">
      <c r="A104" s="5" t="s">
        <v>170</v>
      </c>
      <c r="B104" s="5" t="s">
        <v>68</v>
      </c>
      <c r="C104" s="5" t="s">
        <v>71</v>
      </c>
      <c r="D104" s="5">
        <f>IF(LEFT($A104,4) = "Dual",2,IF(LEFT($A104,6) = "Triple",3,1))</f>
        <v>1</v>
      </c>
      <c r="E104" s="5">
        <v>1</v>
      </c>
      <c r="F104" s="6">
        <v>1</v>
      </c>
      <c r="G104" s="5">
        <v>11</v>
      </c>
      <c r="H104" s="7">
        <f>IF(Table12[[#This Row],[Barrels]]&gt;1,Table12[[#This Row],[Recharge]]*1.33333333,Table12[[#This Row],[Recharge]])</f>
        <v>11</v>
      </c>
      <c r="I104" s="5">
        <v>220</v>
      </c>
      <c r="J104" s="5">
        <v>220</v>
      </c>
      <c r="K104" s="5">
        <v>220</v>
      </c>
      <c r="L104" s="7">
        <f>I104*$E104/$H104</f>
        <v>20</v>
      </c>
      <c r="M104" s="11">
        <f>IF($H104&lt;&gt;0,$D104*$E104*$F104*J104/$H104,)</f>
        <v>20</v>
      </c>
      <c r="N104" s="13">
        <f>IF($B104 = "Ballistic", 1.25*$M104,$M104)</f>
        <v>20</v>
      </c>
      <c r="O104" s="13">
        <f>IF($B104 = "Ballistic", $N104*1.5,$N104)</f>
        <v>20</v>
      </c>
      <c r="P104" s="7">
        <f>IF($H104&lt;&gt;0,$D104*$E104*$F104*K104/$H104,)</f>
        <v>20</v>
      </c>
      <c r="Q104" s="9">
        <f>$D104*$J104*$F104</f>
        <v>220</v>
      </c>
      <c r="R104" s="9">
        <f>$D104*$E104*$F104*$K104</f>
        <v>220</v>
      </c>
      <c r="S104" s="5"/>
      <c r="T104" s="12">
        <v>40</v>
      </c>
      <c r="U104" s="5">
        <f>VLOOKUP(H104,Standard_F_Rates,2)</f>
        <v>3</v>
      </c>
      <c r="V104" s="5">
        <f>MAX(VLOOKUP(R104,Alt_Dmg_Table,2),IF(C104="Medium",VLOOKUP(M104,Medium_Weapon_Damage_Table,2),IF(C104="Small",VLOOKUP(M104,Small_Weapon_Damage_Table,2),IF(C104="Projector",VLOOKUP(M104,Projector_Weapon_Damage_Table,2),VLOOKUP(M104,Large_Weapon_Damage_Table,2)))))</f>
        <v>6</v>
      </c>
      <c r="W104" s="5">
        <f>VLOOKUP(AA104+AB104,Standard_Accuracy_Table,2)</f>
        <v>10</v>
      </c>
      <c r="X104" s="5">
        <f>VLOOKUP(Y104,Standard_Range_Table,2)</f>
        <v>5</v>
      </c>
      <c r="Y104" s="5">
        <v>1100</v>
      </c>
      <c r="Z104" s="7">
        <f>$D104*$E104/$H104</f>
        <v>9.0909090909090912E-2</v>
      </c>
      <c r="AA104" s="5">
        <v>0</v>
      </c>
      <c r="AB104" s="5"/>
    </row>
    <row r="105" spans="1:28" s="2" customFormat="1" x14ac:dyDescent="0.25">
      <c r="A105" s="5" t="s">
        <v>171</v>
      </c>
      <c r="B105" s="5" t="s">
        <v>53</v>
      </c>
      <c r="C105" s="5" t="s">
        <v>55</v>
      </c>
      <c r="D105" s="5">
        <f>IF(LEFT($A105,4) = "Dual",2,IF(LEFT($A105,6) = "Triple",3,1))</f>
        <v>1</v>
      </c>
      <c r="E105" s="5">
        <v>1</v>
      </c>
      <c r="F105" s="6">
        <v>1</v>
      </c>
      <c r="G105" s="5">
        <v>5</v>
      </c>
      <c r="H105" s="7">
        <f>IF(Table12[[#This Row],[Barrels]]&gt;1,Table12[[#This Row],[Recharge]]*1.33333333,Table12[[#This Row],[Recharge]])</f>
        <v>5</v>
      </c>
      <c r="I105" s="5">
        <v>100</v>
      </c>
      <c r="J105" s="5">
        <v>100</v>
      </c>
      <c r="K105" s="5">
        <v>66</v>
      </c>
      <c r="L105" s="7">
        <f>I105*$E105/$H105</f>
        <v>20</v>
      </c>
      <c r="M105" s="11">
        <f>IF($H105&lt;&gt;0,$D105*$E105*$F105*J105/$H105,)</f>
        <v>20</v>
      </c>
      <c r="N105" s="13">
        <f>IF($B105 = "Ballistic", 1.25*$M105,$M105)</f>
        <v>20</v>
      </c>
      <c r="O105" s="13">
        <f>IF($B105 = "Ballistic", $N105*1.5,$N105)</f>
        <v>20</v>
      </c>
      <c r="P105" s="7">
        <f>IF($H105&lt;&gt;0,$D105*$E105*$F105*K105/$H105,)</f>
        <v>13.2</v>
      </c>
      <c r="Q105" s="9">
        <f>$D105*$J105*$F105</f>
        <v>100</v>
      </c>
      <c r="R105" s="9">
        <f>$D105*$E105*$F105*$K105</f>
        <v>66</v>
      </c>
      <c r="S105" s="5"/>
      <c r="T105" s="12">
        <v>60</v>
      </c>
      <c r="U105" s="5">
        <f>VLOOKUP(H105,Standard_F_Rates,2)</f>
        <v>8</v>
      </c>
      <c r="V105" s="5">
        <f>MAX(VLOOKUP(R105,Alt_Dmg_Table,2),IF(C105="Medium",VLOOKUP(M105,Medium_Weapon_Damage_Table,2),IF(C105="Small",VLOOKUP(M105,Small_Weapon_Damage_Table,2),IF(C105="Projector",VLOOKUP(M105,Projector_Weapon_Damage_Table,2),VLOOKUP(M105,Large_Weapon_Damage_Table,2)))))</f>
        <v>2</v>
      </c>
      <c r="W105" s="5">
        <f>VLOOKUP(AA105+AB105,Standard_Accuracy_Table,2)</f>
        <v>5</v>
      </c>
      <c r="X105" s="5">
        <f>VLOOKUP(Y105,Standard_Range_Table,2)</f>
        <v>3</v>
      </c>
      <c r="Y105" s="5">
        <v>650</v>
      </c>
      <c r="Z105" s="7">
        <f>$D105*$E105/$H105</f>
        <v>0.2</v>
      </c>
      <c r="AA105" s="5">
        <v>2</v>
      </c>
      <c r="AB105" s="5"/>
    </row>
    <row r="106" spans="1:28" s="2" customFormat="1" x14ac:dyDescent="0.25">
      <c r="A106" s="5" t="s">
        <v>140</v>
      </c>
      <c r="B106" s="5" t="s">
        <v>67</v>
      </c>
      <c r="C106" s="5" t="s">
        <v>71</v>
      </c>
      <c r="D106" s="5">
        <f>IF(LEFT($A106,4) = "Dual",2,IF(LEFT($A106,6) = "Triple",3,1))</f>
        <v>2</v>
      </c>
      <c r="E106" s="5">
        <v>3</v>
      </c>
      <c r="F106" s="6">
        <v>1</v>
      </c>
      <c r="G106" s="5">
        <v>3</v>
      </c>
      <c r="H106" s="7">
        <f>IF(Table12[[#This Row],[Barrels]]&gt;1,Table12[[#This Row],[Recharge]]*1.33333333,Table12[[#This Row],[Recharge]])</f>
        <v>3.9999999900000001</v>
      </c>
      <c r="I106" s="5">
        <v>14</v>
      </c>
      <c r="J106" s="5">
        <v>12</v>
      </c>
      <c r="K106" s="5">
        <v>10</v>
      </c>
      <c r="L106" s="7">
        <f>I106*$E106/$H106</f>
        <v>10.50000002625</v>
      </c>
      <c r="M106" s="11">
        <f>IF($H106&lt;&gt;0,$D106*$E106*$F106*J106/$H106,)</f>
        <v>18.000000045</v>
      </c>
      <c r="N106" s="13">
        <f>IF($B106 = "Ballistic", 1.25*$M106,$M106)</f>
        <v>18.000000045</v>
      </c>
      <c r="O106" s="13">
        <f>IF($B106 = "Ballistic", $N106*1.5,$N106)</f>
        <v>18.000000045</v>
      </c>
      <c r="P106" s="7">
        <f>IF($H106&lt;&gt;0,$D106*$E106*$F106*K106/$H106,)</f>
        <v>15.0000000375</v>
      </c>
      <c r="Q106" s="9">
        <f>$D106*$J106*$F106</f>
        <v>24</v>
      </c>
      <c r="R106" s="9">
        <f>$D106*$E106*$F106*$K106</f>
        <v>60</v>
      </c>
      <c r="S106" s="5">
        <v>30</v>
      </c>
      <c r="T106" s="12">
        <v>40</v>
      </c>
      <c r="U106" s="5">
        <f>VLOOKUP(H106,Standard_F_Rates,2)</f>
        <v>8</v>
      </c>
      <c r="V106" s="5">
        <f>MAX(VLOOKUP(R106,Alt_Dmg_Table,2),IF(C106="Medium",VLOOKUP(M106,Medium_Weapon_Damage_Table,2),IF(C106="Small",VLOOKUP(M106,Small_Weapon_Damage_Table,2),IF(C106="Projector",VLOOKUP(M106,Projector_Weapon_Damage_Table,2),VLOOKUP(M106,Large_Weapon_Damage_Table,2)))))</f>
        <v>5</v>
      </c>
      <c r="W106" s="5">
        <f>VLOOKUP(AA106+AB106,Standard_Accuracy_Table,2)</f>
        <v>7</v>
      </c>
      <c r="X106" s="5">
        <f>VLOOKUP(Y106,Standard_Range_Table,2)</f>
        <v>7</v>
      </c>
      <c r="Y106" s="5">
        <v>1500</v>
      </c>
      <c r="Z106" s="7">
        <f>$D106*$E106/$H106</f>
        <v>1.5000000037500001</v>
      </c>
      <c r="AA106" s="5">
        <v>1</v>
      </c>
      <c r="AB106" s="5"/>
    </row>
    <row r="107" spans="1:28" s="2" customFormat="1" x14ac:dyDescent="0.25">
      <c r="A107" s="5" t="s">
        <v>139</v>
      </c>
      <c r="B107" s="5" t="s">
        <v>68</v>
      </c>
      <c r="C107" s="5" t="s">
        <v>71</v>
      </c>
      <c r="D107" s="5">
        <f>IF(LEFT($A107,4) = "Dual",2,IF(LEFT($A107,6) = "Triple",3,1))</f>
        <v>2</v>
      </c>
      <c r="E107" s="5">
        <v>1</v>
      </c>
      <c r="F107" s="6">
        <v>0.75</v>
      </c>
      <c r="G107" s="5">
        <v>8</v>
      </c>
      <c r="H107" s="7">
        <f>IF(Table12[[#This Row],[Barrels]]&gt;1,Table12[[#This Row],[Recharge]]*1.33333333,Table12[[#This Row],[Recharge]])</f>
        <v>10.666666640000001</v>
      </c>
      <c r="I107" s="5">
        <v>125</v>
      </c>
      <c r="J107" s="5">
        <v>125</v>
      </c>
      <c r="K107" s="5">
        <v>125</v>
      </c>
      <c r="L107" s="7">
        <f>I107*$E107/$H107</f>
        <v>11.718750029296874</v>
      </c>
      <c r="M107" s="11">
        <f>IF($H107&lt;&gt;0,$D107*$E107*$F107*J107/$H107,)</f>
        <v>17.57812504394531</v>
      </c>
      <c r="N107" s="13">
        <f>IF($B107 = "Ballistic", 1.25*$M107,$M107)</f>
        <v>17.57812504394531</v>
      </c>
      <c r="O107" s="13">
        <f>IF($B107 = "Ballistic", $N107*1.5,$N107)</f>
        <v>17.57812504394531</v>
      </c>
      <c r="P107" s="7">
        <f>IF($H107&lt;&gt;0,$D107*$E107*$F107*K107/$H107,)</f>
        <v>17.57812504394531</v>
      </c>
      <c r="Q107" s="9">
        <f>$D107*$J107*$F107</f>
        <v>187.5</v>
      </c>
      <c r="R107" s="9">
        <f>$D107*$E107*$F107*$K107</f>
        <v>187.5</v>
      </c>
      <c r="S107" s="5">
        <v>30</v>
      </c>
      <c r="T107" s="12">
        <v>40</v>
      </c>
      <c r="U107" s="5">
        <f>VLOOKUP(H107,Standard_F_Rates,2)</f>
        <v>3</v>
      </c>
      <c r="V107" s="5">
        <f>MAX(VLOOKUP(R107,Alt_Dmg_Table,2),IF(C107="Medium",VLOOKUP(M107,Medium_Weapon_Damage_Table,2),IF(C107="Small",VLOOKUP(M107,Small_Weapon_Damage_Table,2),IF(C107="Projector",VLOOKUP(M107,Projector_Weapon_Damage_Table,2),VLOOKUP(M107,Large_Weapon_Damage_Table,2)))))</f>
        <v>5</v>
      </c>
      <c r="W107" s="5">
        <f>VLOOKUP(AA107+AB107,Standard_Accuracy_Table,2)</f>
        <v>10</v>
      </c>
      <c r="X107" s="5">
        <f>VLOOKUP(Y107,Standard_Range_Table,2)</f>
        <v>3</v>
      </c>
      <c r="Y107" s="5">
        <v>750</v>
      </c>
      <c r="Z107" s="7">
        <f>$D107*$E107/$H107</f>
        <v>0.18750000046874998</v>
      </c>
      <c r="AA107" s="5">
        <v>0</v>
      </c>
      <c r="AB107" s="5"/>
    </row>
    <row r="108" spans="1:28" s="2" customFormat="1" x14ac:dyDescent="0.25">
      <c r="A108" s="5" t="s">
        <v>12</v>
      </c>
      <c r="B108" s="5" t="s">
        <v>67</v>
      </c>
      <c r="C108" s="5" t="s">
        <v>71</v>
      </c>
      <c r="D108" s="5">
        <f>IF(LEFT($A108,4) = "Dual",2,IF(LEFT($A108,6) = "Triple",3,1))</f>
        <v>1</v>
      </c>
      <c r="E108" s="5">
        <v>3</v>
      </c>
      <c r="F108" s="6">
        <v>1</v>
      </c>
      <c r="G108" s="5">
        <v>3</v>
      </c>
      <c r="H108" s="7">
        <f>IF(Table12[[#This Row],[Barrels]]&gt;1,Table12[[#This Row],[Recharge]]*1.33333333,Table12[[#This Row],[Recharge]])</f>
        <v>3</v>
      </c>
      <c r="I108" s="5">
        <v>18</v>
      </c>
      <c r="J108" s="5">
        <v>16</v>
      </c>
      <c r="K108" s="5">
        <v>14</v>
      </c>
      <c r="L108" s="7">
        <f>I108*$E108/$H108</f>
        <v>18</v>
      </c>
      <c r="M108" s="11">
        <f>IF($H108&lt;&gt;0,$D108*$E108*$F108*J108/$H108,)</f>
        <v>16</v>
      </c>
      <c r="N108" s="13">
        <f>IF($B108 = "Ballistic", 1.25*$M108,$M108)</f>
        <v>16</v>
      </c>
      <c r="O108" s="13">
        <f>IF($B108 = "Ballistic", $N108*1.5,$N108)</f>
        <v>16</v>
      </c>
      <c r="P108" s="7">
        <f>IF($H108&lt;&gt;0,$D108*$E108*$F108*K108/$H108,)</f>
        <v>14</v>
      </c>
      <c r="Q108" s="9">
        <f>$D108*$J108*$F108</f>
        <v>16</v>
      </c>
      <c r="R108" s="9">
        <f>$D108*$E108*$F108*$K108</f>
        <v>42</v>
      </c>
      <c r="S108" s="5">
        <v>70</v>
      </c>
      <c r="T108" s="12">
        <v>30</v>
      </c>
      <c r="U108" s="5">
        <f>VLOOKUP(H108,Standard_F_Rates,2)</f>
        <v>9</v>
      </c>
      <c r="V108" s="5">
        <f>MAX(VLOOKUP(R108,Alt_Dmg_Table,2),IF(C108="Medium",VLOOKUP(M108,Medium_Weapon_Damage_Table,2),IF(C108="Small",VLOOKUP(M108,Small_Weapon_Damage_Table,2),IF(C108="Projector",VLOOKUP(M108,Projector_Weapon_Damage_Table,2),VLOOKUP(M108,Large_Weapon_Damage_Table,2)))))</f>
        <v>5</v>
      </c>
      <c r="W108" s="5">
        <f>VLOOKUP(AA108+AB108,Standard_Accuracy_Table,2)</f>
        <v>7</v>
      </c>
      <c r="X108" s="5">
        <f>VLOOKUP(Y108,Standard_Range_Table,2)</f>
        <v>7</v>
      </c>
      <c r="Y108" s="5">
        <v>1750</v>
      </c>
      <c r="Z108" s="7">
        <f>$D108*$E108/$H108</f>
        <v>1</v>
      </c>
      <c r="AA108" s="5">
        <v>1</v>
      </c>
      <c r="AB108" s="5"/>
    </row>
    <row r="109" spans="1:28" s="2" customFormat="1" x14ac:dyDescent="0.25">
      <c r="A109" s="27" t="s">
        <v>211</v>
      </c>
      <c r="B109" s="27" t="s">
        <v>16</v>
      </c>
      <c r="C109" s="27" t="s">
        <v>72</v>
      </c>
      <c r="D109" s="27">
        <f>IF(LEFT($A109,4) = "Dual",2,IF(LEFT($A109,6) = "Triple",3,1))</f>
        <v>1</v>
      </c>
      <c r="E109" s="27">
        <v>1</v>
      </c>
      <c r="F109" s="28">
        <v>1</v>
      </c>
      <c r="G109" s="27">
        <v>5</v>
      </c>
      <c r="H109" s="7">
        <f>IF(Table12[[#This Row],[Barrels]]&gt;1,Table12[[#This Row],[Recharge]]*1.33333333,Table12[[#This Row],[Recharge]])</f>
        <v>5</v>
      </c>
      <c r="I109" s="27">
        <v>75</v>
      </c>
      <c r="J109" s="27">
        <v>75</v>
      </c>
      <c r="K109" s="27">
        <v>75</v>
      </c>
      <c r="L109" s="29">
        <f>I109*$E109/$H109</f>
        <v>15</v>
      </c>
      <c r="M109" s="30">
        <f>IF($H109&lt;&gt;0,$D109*$E109*$F109*J109/$H109,)</f>
        <v>15</v>
      </c>
      <c r="N109" s="31">
        <f>IF($B109 = "Ballistic", 1.25*$M109,$M109)</f>
        <v>18.75</v>
      </c>
      <c r="O109" s="31">
        <f>IF($B109 = "Ballistic", $N109*1.5,$N109)</f>
        <v>28.125</v>
      </c>
      <c r="P109" s="29">
        <f>IF($H109&lt;&gt;0,$D109*$E109*$F109*K109/$H109,)</f>
        <v>15</v>
      </c>
      <c r="Q109" s="42">
        <f>$D109*$J109*$F109</f>
        <v>75</v>
      </c>
      <c r="R109" s="42">
        <f>$D109*$E109*$F109*$K109</f>
        <v>75</v>
      </c>
      <c r="S109" s="27">
        <v>450</v>
      </c>
      <c r="T109" s="33">
        <v>160</v>
      </c>
      <c r="U109" s="27">
        <f>VLOOKUP(H109,Standard_F_Rates,2)</f>
        <v>8</v>
      </c>
      <c r="V109" s="27">
        <f>MAX(VLOOKUP(R109,Alt_Dmg_Table,2),IF(C109="Medium",VLOOKUP(M109,Medium_Weapon_Damage_Table,2),IF(C109="Small",VLOOKUP(M109,Small_Weapon_Damage_Table,2),IF(C109="Projector",VLOOKUP(M109,Projector_Weapon_Damage_Table,2),VLOOKUP(M109,Large_Weapon_Damage_Table,2)))))</f>
        <v>1</v>
      </c>
      <c r="W109" s="27">
        <f>VLOOKUP(AA109+AB109,Standard_Accuracy_Table,2)</f>
        <v>3</v>
      </c>
      <c r="X109" s="27">
        <f>VLOOKUP(Y109,Standard_Range_Table,2)</f>
        <v>8</v>
      </c>
      <c r="Y109" s="27">
        <v>1850</v>
      </c>
      <c r="Z109" s="29">
        <f>$D109*$E109/$H109</f>
        <v>0.2</v>
      </c>
      <c r="AA109" s="10">
        <v>4</v>
      </c>
      <c r="AB109" s="10"/>
    </row>
    <row r="110" spans="1:28" s="2" customFormat="1" x14ac:dyDescent="0.25">
      <c r="A110" s="5" t="s">
        <v>10</v>
      </c>
      <c r="B110" s="5" t="s">
        <v>68</v>
      </c>
      <c r="C110" s="5" t="s">
        <v>71</v>
      </c>
      <c r="D110" s="5">
        <f>IF(LEFT($A110,4) = "Dual",2,IF(LEFT($A110,6) = "Triple",3,1))</f>
        <v>1</v>
      </c>
      <c r="E110" s="5">
        <v>1</v>
      </c>
      <c r="F110" s="6">
        <v>0.75</v>
      </c>
      <c r="G110" s="5">
        <v>8</v>
      </c>
      <c r="H110" s="7">
        <f>IF(Table12[[#This Row],[Barrels]]&gt;1,Table12[[#This Row],[Recharge]]*1.33333333,Table12[[#This Row],[Recharge]])</f>
        <v>8</v>
      </c>
      <c r="I110" s="5">
        <v>160</v>
      </c>
      <c r="J110" s="5">
        <v>160</v>
      </c>
      <c r="K110" s="5">
        <v>160</v>
      </c>
      <c r="L110" s="7">
        <f>I110*$E110/$H110</f>
        <v>20</v>
      </c>
      <c r="M110" s="11">
        <f>IF($H110&lt;&gt;0,$D110*$E110*$F110*J110/$H110,)</f>
        <v>15</v>
      </c>
      <c r="N110" s="13">
        <f>IF($B110 = "Ballistic", 1.25*$M110,$M110)</f>
        <v>15</v>
      </c>
      <c r="O110" s="13">
        <f>IF($B110 = "Ballistic", $N110*1.5,$N110)</f>
        <v>15</v>
      </c>
      <c r="P110" s="7">
        <f>IF($H110&lt;&gt;0,$D110*$E110*$F110*K110/$H110,)</f>
        <v>15</v>
      </c>
      <c r="Q110" s="9">
        <f>$D110*$J110*$F110</f>
        <v>120</v>
      </c>
      <c r="R110" s="9">
        <f>$D110*$E110*$F110*$K110</f>
        <v>120</v>
      </c>
      <c r="S110" s="5"/>
      <c r="T110" s="12">
        <v>30</v>
      </c>
      <c r="U110" s="5">
        <f>VLOOKUP(H110,Standard_F_Rates,2)</f>
        <v>5</v>
      </c>
      <c r="V110" s="5">
        <f>MAX(VLOOKUP(R110,Alt_Dmg_Table,2),IF(C110="Medium",VLOOKUP(M110,Medium_Weapon_Damage_Table,2),IF(C110="Small",VLOOKUP(M110,Small_Weapon_Damage_Table,2),IF(C110="Projector",VLOOKUP(M110,Projector_Weapon_Damage_Table,2),VLOOKUP(M110,Large_Weapon_Damage_Table,2)))))</f>
        <v>5</v>
      </c>
      <c r="W110" s="5">
        <f>VLOOKUP(AA110+AB110,Standard_Accuracy_Table,2)</f>
        <v>10</v>
      </c>
      <c r="X110" s="5">
        <f>VLOOKUP(Y110,Standard_Range_Table,2)</f>
        <v>4</v>
      </c>
      <c r="Y110" s="5">
        <v>900</v>
      </c>
      <c r="Z110" s="7">
        <f>$D110*$E110/$H110</f>
        <v>0.125</v>
      </c>
      <c r="AA110" s="5">
        <v>0</v>
      </c>
      <c r="AB110" s="5"/>
    </row>
    <row r="111" spans="1:28" s="2" customFormat="1" x14ac:dyDescent="0.25">
      <c r="A111" s="5" t="s">
        <v>86</v>
      </c>
      <c r="B111" s="5" t="s">
        <v>163</v>
      </c>
      <c r="C111" s="5" t="s">
        <v>71</v>
      </c>
      <c r="D111" s="5">
        <f>IF(LEFT($A111,4) = "Dual",2,IF(LEFT($A111,6) = "Triple",3,1))</f>
        <v>1</v>
      </c>
      <c r="E111" s="5">
        <v>1</v>
      </c>
      <c r="F111" s="6">
        <v>1</v>
      </c>
      <c r="G111" s="5">
        <v>1</v>
      </c>
      <c r="H111" s="7">
        <f>IF(Table12[[#This Row],[Barrels]]&gt;1,Table12[[#This Row],[Recharge]]*1.33333333,Table12[[#This Row],[Recharge]])</f>
        <v>1</v>
      </c>
      <c r="I111" s="5">
        <v>15</v>
      </c>
      <c r="J111" s="5">
        <v>15</v>
      </c>
      <c r="K111" s="5">
        <v>15</v>
      </c>
      <c r="L111" s="7">
        <f>I111*$E111/$H111</f>
        <v>15</v>
      </c>
      <c r="M111" s="11">
        <f>IF($H111&lt;&gt;0,$D111*$E111*$F111*J111/$H111,)</f>
        <v>15</v>
      </c>
      <c r="N111" s="13">
        <f>IF($B111 = "Ballistic", 1.25*$M111,$M111)</f>
        <v>15</v>
      </c>
      <c r="O111" s="13">
        <f>IF($B111 = "Ballistic", $N111*1.5,$N111)</f>
        <v>15</v>
      </c>
      <c r="P111" s="7">
        <f>IF($H111&lt;&gt;0,$D111*$E111*$F111*K111/$H111,)</f>
        <v>15</v>
      </c>
      <c r="Q111" s="9">
        <f>$D111*$J111*$F111</f>
        <v>15</v>
      </c>
      <c r="R111" s="9">
        <f>$D111*$E111*$F111*$K111</f>
        <v>15</v>
      </c>
      <c r="S111" s="5"/>
      <c r="T111" s="12">
        <v>30</v>
      </c>
      <c r="U111" s="5">
        <f>VLOOKUP(H111,Standard_F_Rates,2)</f>
        <v>10</v>
      </c>
      <c r="V111" s="5">
        <f>MAX(VLOOKUP(R111,Alt_Dmg_Table,2),IF(C111="Medium",VLOOKUP(M111,Medium_Weapon_Damage_Table,2),IF(C111="Small",VLOOKUP(M111,Small_Weapon_Damage_Table,2),IF(C111="Projector",VLOOKUP(M111,Projector_Weapon_Damage_Table,2),VLOOKUP(M111,Large_Weapon_Damage_Table,2)))))</f>
        <v>5</v>
      </c>
      <c r="W111" s="5">
        <f>VLOOKUP(AA111+AB111,Standard_Accuracy_Table,2)</f>
        <v>7</v>
      </c>
      <c r="X111" s="5">
        <f>VLOOKUP(Y111,Standard_Range_Table,2)</f>
        <v>2</v>
      </c>
      <c r="Y111" s="5">
        <v>500</v>
      </c>
      <c r="Z111" s="7">
        <f>$D111*$E111/$H111</f>
        <v>1</v>
      </c>
      <c r="AA111" s="5">
        <v>1</v>
      </c>
      <c r="AB111" s="5">
        <v>0.25</v>
      </c>
    </row>
    <row r="112" spans="1:28" s="2" customFormat="1" x14ac:dyDescent="0.25">
      <c r="A112" s="5" t="s">
        <v>141</v>
      </c>
      <c r="B112" s="5" t="s">
        <v>16</v>
      </c>
      <c r="C112" s="5" t="s">
        <v>71</v>
      </c>
      <c r="D112" s="5">
        <f>IF(LEFT($A112,4) = "Dual",2,IF(LEFT($A112,6) = "Triple",3,1))</f>
        <v>2</v>
      </c>
      <c r="E112" s="5">
        <v>1</v>
      </c>
      <c r="F112" s="6">
        <v>1</v>
      </c>
      <c r="G112" s="5">
        <v>5</v>
      </c>
      <c r="H112" s="7">
        <f>IF(Table12[[#This Row],[Barrels]]&gt;1,Table12[[#This Row],[Recharge]]*1.33333333,Table12[[#This Row],[Recharge]])</f>
        <v>6.6666666500000007</v>
      </c>
      <c r="I112" s="5">
        <v>45</v>
      </c>
      <c r="J112" s="5">
        <v>45</v>
      </c>
      <c r="K112" s="5">
        <v>45</v>
      </c>
      <c r="L112" s="7">
        <f>I112*$E112/$H112</f>
        <v>6.7500000168749992</v>
      </c>
      <c r="M112" s="11">
        <f>IF($H112&lt;&gt;0,$D112*$E112*$F112*J112/$H112,)</f>
        <v>13.500000033749998</v>
      </c>
      <c r="N112" s="13">
        <f>IF($B112 = "Ballistic", 1.25*$M112,$M112)</f>
        <v>16.875000042187498</v>
      </c>
      <c r="O112" s="13">
        <f>IF($B112 = "Ballistic", $N112*1.5,$N112)</f>
        <v>25.312500063281249</v>
      </c>
      <c r="P112" s="7">
        <f>IF($H112&lt;&gt;0,$D112*$E112*$F112*K112/$H112,)</f>
        <v>13.500000033749998</v>
      </c>
      <c r="Q112" s="9">
        <f>$D112*$J112*$F112</f>
        <v>90</v>
      </c>
      <c r="R112" s="9">
        <f>$D112*$E112*$F112*$K112</f>
        <v>90</v>
      </c>
      <c r="S112" s="5">
        <v>12</v>
      </c>
      <c r="T112" s="12">
        <v>40</v>
      </c>
      <c r="U112" s="5">
        <f>VLOOKUP(H112,Standard_F_Rates,2)</f>
        <v>6</v>
      </c>
      <c r="V112" s="5">
        <f>MAX(VLOOKUP(R112,Alt_Dmg_Table,2),IF(C112="Medium",VLOOKUP(M112,Medium_Weapon_Damage_Table,2),IF(C112="Small",VLOOKUP(M112,Small_Weapon_Damage_Table,2),IF(C112="Projector",VLOOKUP(M112,Projector_Weapon_Damage_Table,2),VLOOKUP(M112,Large_Weapon_Damage_Table,2)))))</f>
        <v>4</v>
      </c>
      <c r="W112" s="5">
        <f>VLOOKUP(AA112+AB112,Standard_Accuracy_Table,2)</f>
        <v>3</v>
      </c>
      <c r="X112" s="5">
        <f>VLOOKUP(Y112,Standard_Range_Table,2)</f>
        <v>3</v>
      </c>
      <c r="Y112" s="5">
        <v>800</v>
      </c>
      <c r="Z112" s="7">
        <f>$D112*$E112/$H112</f>
        <v>0.30000000075</v>
      </c>
      <c r="AA112" s="5">
        <v>4</v>
      </c>
      <c r="AB112" s="5"/>
    </row>
    <row r="113" spans="1:28" s="2" customFormat="1" x14ac:dyDescent="0.25">
      <c r="A113" s="5" t="s">
        <v>11</v>
      </c>
      <c r="B113" s="5" t="s">
        <v>67</v>
      </c>
      <c r="C113" s="5" t="s">
        <v>71</v>
      </c>
      <c r="D113" s="5">
        <f>IF(LEFT($A113,4) = "Dual",2,IF(LEFT($A113,6) = "Triple",3,1))</f>
        <v>1</v>
      </c>
      <c r="E113" s="5">
        <v>3</v>
      </c>
      <c r="F113" s="6">
        <v>1</v>
      </c>
      <c r="G113" s="5">
        <v>3</v>
      </c>
      <c r="H113" s="7">
        <f>IF(Table12[[#This Row],[Barrels]]&gt;1,Table12[[#This Row],[Recharge]]*1.33333333,Table12[[#This Row],[Recharge]])</f>
        <v>3</v>
      </c>
      <c r="I113" s="5">
        <v>14</v>
      </c>
      <c r="J113" s="5">
        <v>12</v>
      </c>
      <c r="K113" s="5">
        <v>10</v>
      </c>
      <c r="L113" s="7">
        <f>I113*$E113/$H113</f>
        <v>14</v>
      </c>
      <c r="M113" s="11">
        <f>IF($H113&lt;&gt;0,$D113*$E113*$F113*J113/$H113,)</f>
        <v>12</v>
      </c>
      <c r="N113" s="13">
        <f>IF($B113 = "Ballistic", 1.25*$M113,$M113)</f>
        <v>12</v>
      </c>
      <c r="O113" s="13">
        <f>IF($B113 = "Ballistic", $N113*1.5,$N113)</f>
        <v>12</v>
      </c>
      <c r="P113" s="7">
        <f>IF($H113&lt;&gt;0,$D113*$E113*$F113*K113/$H113,)</f>
        <v>10</v>
      </c>
      <c r="Q113" s="9">
        <f>$D113*$J113*$F113</f>
        <v>12</v>
      </c>
      <c r="R113" s="9">
        <f>$D113*$E113*$F113*$K113</f>
        <v>30</v>
      </c>
      <c r="S113" s="5">
        <v>30</v>
      </c>
      <c r="T113" s="12">
        <v>20</v>
      </c>
      <c r="U113" s="5">
        <f>VLOOKUP(H113,Standard_F_Rates,2)</f>
        <v>9</v>
      </c>
      <c r="V113" s="5">
        <f>MAX(VLOOKUP(R113,Alt_Dmg_Table,2),IF(C113="Medium",VLOOKUP(M113,Medium_Weapon_Damage_Table,2),IF(C113="Small",VLOOKUP(M113,Small_Weapon_Damage_Table,2),IF(C113="Projector",VLOOKUP(M113,Projector_Weapon_Damage_Table,2),VLOOKUP(M113,Large_Weapon_Damage_Table,2)))))</f>
        <v>4</v>
      </c>
      <c r="W113" s="5">
        <f>VLOOKUP(AA113+AB113,Standard_Accuracy_Table,2)</f>
        <v>7</v>
      </c>
      <c r="X113" s="5">
        <f>VLOOKUP(Y113,Standard_Range_Table,2)</f>
        <v>7</v>
      </c>
      <c r="Y113" s="5">
        <v>1500</v>
      </c>
      <c r="Z113" s="7">
        <f>$D113*$E113/$H113</f>
        <v>1</v>
      </c>
      <c r="AA113" s="5">
        <v>1</v>
      </c>
      <c r="AB113" s="5"/>
    </row>
    <row r="114" spans="1:28" s="2" customFormat="1" x14ac:dyDescent="0.25">
      <c r="A114" s="5" t="s">
        <v>9</v>
      </c>
      <c r="B114" s="5" t="s">
        <v>68</v>
      </c>
      <c r="C114" s="5" t="s">
        <v>71</v>
      </c>
      <c r="D114" s="5">
        <f>IF(LEFT($A114,4) = "Dual",2,IF(LEFT($A114,6) = "Triple",3,1))</f>
        <v>1</v>
      </c>
      <c r="E114" s="5">
        <v>1</v>
      </c>
      <c r="F114" s="6">
        <v>0.75</v>
      </c>
      <c r="G114" s="5">
        <v>8</v>
      </c>
      <c r="H114" s="7">
        <f>IF(Table12[[#This Row],[Barrels]]&gt;1,Table12[[#This Row],[Recharge]]*1.33333333,Table12[[#This Row],[Recharge]])</f>
        <v>8</v>
      </c>
      <c r="I114" s="5">
        <v>120</v>
      </c>
      <c r="J114" s="5">
        <v>120</v>
      </c>
      <c r="K114" s="5">
        <v>120</v>
      </c>
      <c r="L114" s="7">
        <f>I114*$E114/$H114</f>
        <v>15</v>
      </c>
      <c r="M114" s="11">
        <f>IF($H114&lt;&gt;0,$D114*$E114*$F114*J114/$H114,)</f>
        <v>11.25</v>
      </c>
      <c r="N114" s="13">
        <f>IF($B114 = "Ballistic", 1.25*$M114,$M114)</f>
        <v>11.25</v>
      </c>
      <c r="O114" s="13">
        <f>IF($B114 = "Ballistic", $N114*1.5,$N114)</f>
        <v>11.25</v>
      </c>
      <c r="P114" s="7">
        <f>IF($H114&lt;&gt;0,$D114*$E114*$F114*K114/$H114,)</f>
        <v>11.25</v>
      </c>
      <c r="Q114" s="9">
        <f>$D114*$J114*$F114</f>
        <v>90</v>
      </c>
      <c r="R114" s="9">
        <f>$D114*$E114*$F114*$K114</f>
        <v>90</v>
      </c>
      <c r="S114" s="5">
        <v>30</v>
      </c>
      <c r="T114" s="12">
        <v>20</v>
      </c>
      <c r="U114" s="5">
        <f>VLOOKUP(H114,Standard_F_Rates,2)</f>
        <v>5</v>
      </c>
      <c r="V114" s="5">
        <f>MAX(VLOOKUP(R114,Alt_Dmg_Table,2),IF(C114="Medium",VLOOKUP(M114,Medium_Weapon_Damage_Table,2),IF(C114="Small",VLOOKUP(M114,Small_Weapon_Damage_Table,2),IF(C114="Projector",VLOOKUP(M114,Projector_Weapon_Damage_Table,2),VLOOKUP(M114,Large_Weapon_Damage_Table,2)))))</f>
        <v>4</v>
      </c>
      <c r="W114" s="5">
        <f>VLOOKUP(AA114+AB114,Standard_Accuracy_Table,2)</f>
        <v>10</v>
      </c>
      <c r="X114" s="5">
        <f>VLOOKUP(Y114,Standard_Range_Table,2)</f>
        <v>3</v>
      </c>
      <c r="Y114" s="5">
        <v>750</v>
      </c>
      <c r="Z114" s="7">
        <f>$D114*$E114/$H114</f>
        <v>0.125</v>
      </c>
      <c r="AA114" s="5">
        <v>0</v>
      </c>
      <c r="AB114" s="5"/>
    </row>
    <row r="115" spans="1:28" s="2" customFormat="1" x14ac:dyDescent="0.25">
      <c r="A115" s="5" t="s">
        <v>62</v>
      </c>
      <c r="B115" s="5" t="s">
        <v>26</v>
      </c>
      <c r="C115" s="5" t="s">
        <v>71</v>
      </c>
      <c r="D115" s="5">
        <f>IF(LEFT($A115,4) = "Dual",2,IF(LEFT($A115,6) = "Triple",3,1))</f>
        <v>1</v>
      </c>
      <c r="E115" s="5">
        <v>2</v>
      </c>
      <c r="F115" s="6">
        <v>0.75</v>
      </c>
      <c r="G115" s="5">
        <v>10</v>
      </c>
      <c r="H115" s="7">
        <f>IF(Table12[[#This Row],[Barrels]]&gt;1,Table12[[#This Row],[Recharge]]*1.33333333,Table12[[#This Row],[Recharge]])</f>
        <v>10</v>
      </c>
      <c r="I115" s="5">
        <v>70</v>
      </c>
      <c r="J115" s="5">
        <v>70</v>
      </c>
      <c r="K115" s="5">
        <v>70</v>
      </c>
      <c r="L115" s="7">
        <f>I115*$E115/$H115</f>
        <v>14</v>
      </c>
      <c r="M115" s="11">
        <f>IF($H115&lt;&gt;0,$D115*$E115*$F115*J115/$H115,)</f>
        <v>10.5</v>
      </c>
      <c r="N115" s="13">
        <f>IF($B115 = "Ballistic", 1.25*$M115,$M115)</f>
        <v>10.5</v>
      </c>
      <c r="O115" s="13">
        <f>IF($B115 = "Ballistic", $N115*1.5,$N115)</f>
        <v>10.5</v>
      </c>
      <c r="P115" s="7">
        <f>IF($H115&lt;&gt;0,$D115*$E115*$F115*K115/$H115,)</f>
        <v>10.5</v>
      </c>
      <c r="Q115" s="9">
        <f>$D115*$J115*$F115</f>
        <v>52.5</v>
      </c>
      <c r="R115" s="9">
        <f>$D115*$E115*$F115*$K115</f>
        <v>105</v>
      </c>
      <c r="S115" s="5">
        <v>60</v>
      </c>
      <c r="T115" s="12">
        <v>20</v>
      </c>
      <c r="U115" s="5">
        <f>VLOOKUP(H115,Standard_F_Rates,2)</f>
        <v>4</v>
      </c>
      <c r="V115" s="5">
        <f>MAX(VLOOKUP(R115,Alt_Dmg_Table,2),IF(C115="Medium",VLOOKUP(M115,Medium_Weapon_Damage_Table,2),IF(C115="Small",VLOOKUP(M115,Small_Weapon_Damage_Table,2),IF(C115="Projector",VLOOKUP(M115,Projector_Weapon_Damage_Table,2),VLOOKUP(M115,Large_Weapon_Damage_Table,2)))))</f>
        <v>4</v>
      </c>
      <c r="W115" s="5">
        <f>VLOOKUP(AA115+AB115,Standard_Accuracy_Table,2)</f>
        <v>10</v>
      </c>
      <c r="X115" s="5">
        <f>VLOOKUP(Y115,Standard_Range_Table,2)</f>
        <v>1</v>
      </c>
      <c r="Y115" s="5">
        <v>350</v>
      </c>
      <c r="Z115" s="7">
        <f>$D115*$E115/$H115</f>
        <v>0.2</v>
      </c>
      <c r="AA115" s="5">
        <v>0</v>
      </c>
      <c r="AB115" s="5"/>
    </row>
    <row r="116" spans="1:28" s="2" customFormat="1" x14ac:dyDescent="0.25">
      <c r="A116" s="5" t="s">
        <v>47</v>
      </c>
      <c r="B116" s="5" t="s">
        <v>46</v>
      </c>
      <c r="C116" s="5" t="s">
        <v>55</v>
      </c>
      <c r="D116" s="5">
        <f>IF(LEFT($A116,4) = "Dual",2,IF(LEFT($A116,6) = "Triple",3,1))</f>
        <v>1</v>
      </c>
      <c r="E116" s="5">
        <v>1</v>
      </c>
      <c r="F116" s="6">
        <v>1</v>
      </c>
      <c r="G116" s="5">
        <v>4</v>
      </c>
      <c r="H116" s="7">
        <f>IF(Table12[[#This Row],[Barrels]]&gt;1,Table12[[#This Row],[Recharge]]*1.33333333,Table12[[#This Row],[Recharge]])</f>
        <v>4</v>
      </c>
      <c r="I116" s="5">
        <v>50</v>
      </c>
      <c r="J116" s="5">
        <v>40</v>
      </c>
      <c r="K116" s="5">
        <v>20</v>
      </c>
      <c r="L116" s="7">
        <f>I116*$E116/$H116</f>
        <v>12.5</v>
      </c>
      <c r="M116" s="11">
        <f>IF($H116&lt;&gt;0,$D116*$E116*$F116*J116/$H116,)</f>
        <v>10</v>
      </c>
      <c r="N116" s="13">
        <f>IF($B116 = "Ballistic", 1.25*$M116,$M116)</f>
        <v>10</v>
      </c>
      <c r="O116" s="13">
        <f>IF($B116 = "Ballistic", $N116*1.5,$N116)</f>
        <v>10</v>
      </c>
      <c r="P116" s="7">
        <f>IF($H116&lt;&gt;0,$D116*$E116*$F116*K116/$H116,)</f>
        <v>5</v>
      </c>
      <c r="Q116" s="9">
        <f>$D116*$J116*$F116</f>
        <v>40</v>
      </c>
      <c r="R116" s="9">
        <f>$D116*$E116*$F116*$K116</f>
        <v>20</v>
      </c>
      <c r="S116" s="5">
        <v>100</v>
      </c>
      <c r="T116" s="12">
        <v>60</v>
      </c>
      <c r="U116" s="5">
        <f>VLOOKUP(H116,Standard_F_Rates,2)</f>
        <v>8</v>
      </c>
      <c r="V116" s="5">
        <f>MAX(VLOOKUP(R116,Alt_Dmg_Table,2),IF(C116="Medium",VLOOKUP(M116,Medium_Weapon_Damage_Table,2),IF(C116="Small",VLOOKUP(M116,Small_Weapon_Damage_Table,2),IF(C116="Projector",VLOOKUP(M116,Projector_Weapon_Damage_Table,2),VLOOKUP(M116,Large_Weapon_Damage_Table,2)))))</f>
        <v>1</v>
      </c>
      <c r="W116" s="5">
        <f>VLOOKUP(AA116+AB116,Standard_Accuracy_Table,2)</f>
        <v>6</v>
      </c>
      <c r="X116" s="5">
        <f>VLOOKUP(Y116,Standard_Range_Table,2)</f>
        <v>7</v>
      </c>
      <c r="Y116" s="5">
        <v>1700</v>
      </c>
      <c r="Z116" s="7">
        <f>$D116*$E116/$H116</f>
        <v>0.25</v>
      </c>
      <c r="AA116" s="5">
        <v>1.5</v>
      </c>
      <c r="AB116" s="5"/>
    </row>
    <row r="117" spans="1:28" s="2" customFormat="1" x14ac:dyDescent="0.25">
      <c r="A117" s="5" t="s">
        <v>70</v>
      </c>
      <c r="B117" s="5" t="s">
        <v>67</v>
      </c>
      <c r="C117" s="5" t="s">
        <v>71</v>
      </c>
      <c r="D117" s="5">
        <f>IF(LEFT($A117,4) = "Dual",2,IF(LEFT($A117,6) = "Triple",3,1))</f>
        <v>1</v>
      </c>
      <c r="E117" s="5">
        <v>3</v>
      </c>
      <c r="F117" s="6">
        <v>1</v>
      </c>
      <c r="G117" s="5">
        <v>3</v>
      </c>
      <c r="H117" s="7">
        <f>IF(Table12[[#This Row],[Barrels]]&gt;1,Table12[[#This Row],[Recharge]]*1.33333333,Table12[[#This Row],[Recharge]])</f>
        <v>3</v>
      </c>
      <c r="I117" s="5">
        <v>12</v>
      </c>
      <c r="J117" s="5">
        <v>10</v>
      </c>
      <c r="K117" s="5">
        <v>8</v>
      </c>
      <c r="L117" s="7">
        <f>I117*$E117/$H117</f>
        <v>12</v>
      </c>
      <c r="M117" s="11">
        <f>IF($H117&lt;&gt;0,$D117*$E117*$F117*J117/$H117,)</f>
        <v>10</v>
      </c>
      <c r="N117" s="13">
        <f>IF($B117 = "Ballistic", 1.25*$M117,$M117)</f>
        <v>10</v>
      </c>
      <c r="O117" s="13">
        <f>IF($B117 = "Ballistic", $N117*1.5,$N117)</f>
        <v>10</v>
      </c>
      <c r="P117" s="7">
        <f>IF($H117&lt;&gt;0,$D117*$E117*$F117*K117/$H117,)</f>
        <v>8</v>
      </c>
      <c r="Q117" s="9">
        <f>$D117*$J117*$F117</f>
        <v>10</v>
      </c>
      <c r="R117" s="9">
        <f>$D117*$E117*$F117*$K117</f>
        <v>24</v>
      </c>
      <c r="S117" s="5">
        <v>13</v>
      </c>
      <c r="T117" s="12">
        <v>10</v>
      </c>
      <c r="U117" s="5">
        <f>VLOOKUP(H117,Standard_F_Rates,2)</f>
        <v>9</v>
      </c>
      <c r="V117" s="5">
        <f>MAX(VLOOKUP(R117,Alt_Dmg_Table,2),IF(C117="Medium",VLOOKUP(M117,Medium_Weapon_Damage_Table,2),IF(C117="Small",VLOOKUP(M117,Small_Weapon_Damage_Table,2),IF(C117="Projector",VLOOKUP(M117,Projector_Weapon_Damage_Table,2),VLOOKUP(M117,Large_Weapon_Damage_Table,2)))))</f>
        <v>4</v>
      </c>
      <c r="W117" s="5">
        <f>VLOOKUP(AA117+AB117,Standard_Accuracy_Table,2)</f>
        <v>7</v>
      </c>
      <c r="X117" s="5">
        <f>VLOOKUP(Y117,Standard_Range_Table,2)</f>
        <v>5</v>
      </c>
      <c r="Y117" s="5">
        <v>1250</v>
      </c>
      <c r="Z117" s="7">
        <f>$D117*$E117/$H117</f>
        <v>1</v>
      </c>
      <c r="AA117" s="5">
        <v>1</v>
      </c>
      <c r="AB117" s="5"/>
    </row>
    <row r="118" spans="1:28" s="2" customFormat="1" x14ac:dyDescent="0.25">
      <c r="A118" s="5" t="s">
        <v>69</v>
      </c>
      <c r="B118" s="5" t="s">
        <v>68</v>
      </c>
      <c r="C118" s="5" t="s">
        <v>71</v>
      </c>
      <c r="D118" s="5">
        <f>IF(LEFT($A118,4) = "Dual",2,IF(LEFT($A118,6) = "Triple",3,1))</f>
        <v>1</v>
      </c>
      <c r="E118" s="5">
        <v>1</v>
      </c>
      <c r="F118" s="6">
        <v>0.75</v>
      </c>
      <c r="G118" s="5">
        <v>8</v>
      </c>
      <c r="H118" s="7">
        <f>IF(Table12[[#This Row],[Barrels]]&gt;1,Table12[[#This Row],[Recharge]]*1.33333333,Table12[[#This Row],[Recharge]])</f>
        <v>8</v>
      </c>
      <c r="I118" s="5">
        <v>100</v>
      </c>
      <c r="J118" s="5">
        <v>100</v>
      </c>
      <c r="K118" s="5">
        <v>100</v>
      </c>
      <c r="L118" s="7">
        <f>I118*$E118/$H118</f>
        <v>12.5</v>
      </c>
      <c r="M118" s="11">
        <f>IF($H118&lt;&gt;0,$D118*$E118*$F118*J118/$H118,)</f>
        <v>9.375</v>
      </c>
      <c r="N118" s="13">
        <f>IF($B118 = "Ballistic", 1.25*$M118,$M118)</f>
        <v>9.375</v>
      </c>
      <c r="O118" s="13">
        <f>IF($B118 = "Ballistic", $N118*1.5,$N118)</f>
        <v>9.375</v>
      </c>
      <c r="P118" s="7">
        <f>IF($H118&lt;&gt;0,$D118*$E118*$F118*K118/$H118,)</f>
        <v>9.375</v>
      </c>
      <c r="Q118" s="9">
        <f>$D118*$J118*$F118</f>
        <v>75</v>
      </c>
      <c r="R118" s="9">
        <f>$D118*$E118*$F118*$K118</f>
        <v>75</v>
      </c>
      <c r="S118" s="5">
        <v>13</v>
      </c>
      <c r="T118" s="12">
        <v>10</v>
      </c>
      <c r="U118" s="5">
        <f>VLOOKUP(H118,Standard_F_Rates,2)</f>
        <v>5</v>
      </c>
      <c r="V118" s="5">
        <f>MAX(VLOOKUP(R118,Alt_Dmg_Table,2),IF(C118="Medium",VLOOKUP(M118,Medium_Weapon_Damage_Table,2),IF(C118="Small",VLOOKUP(M118,Small_Weapon_Damage_Table,2),IF(C118="Projector",VLOOKUP(M118,Projector_Weapon_Damage_Table,2),VLOOKUP(M118,Large_Weapon_Damage_Table,2)))))</f>
        <v>3</v>
      </c>
      <c r="W118" s="5">
        <f>VLOOKUP(AA118+AB118,Standard_Accuracy_Table,2)</f>
        <v>10</v>
      </c>
      <c r="X118" s="5">
        <f>VLOOKUP(Y118,Standard_Range_Table,2)</f>
        <v>2</v>
      </c>
      <c r="Y118" s="5">
        <v>500</v>
      </c>
      <c r="Z118" s="7">
        <f>$D118*$E118/$H118</f>
        <v>0.125</v>
      </c>
      <c r="AA118" s="5">
        <v>0</v>
      </c>
      <c r="AB118" s="5"/>
    </row>
    <row r="119" spans="1:28" s="2" customFormat="1" x14ac:dyDescent="0.25">
      <c r="A119" s="5" t="s">
        <v>142</v>
      </c>
      <c r="B119" s="5" t="s">
        <v>16</v>
      </c>
      <c r="C119" s="5" t="s">
        <v>71</v>
      </c>
      <c r="D119" s="5">
        <f>IF(LEFT($A119,4) = "Dual",2,IF(LEFT($A119,6) = "Triple",3,1))</f>
        <v>2</v>
      </c>
      <c r="E119" s="5">
        <v>1</v>
      </c>
      <c r="F119" s="6">
        <v>1</v>
      </c>
      <c r="G119" s="5">
        <v>5</v>
      </c>
      <c r="H119" s="7">
        <f>IF(Table12[[#This Row],[Barrels]]&gt;1,Table12[[#This Row],[Recharge]]*1.33333333,Table12[[#This Row],[Recharge]])</f>
        <v>6.6666666500000007</v>
      </c>
      <c r="I119" s="5">
        <v>30</v>
      </c>
      <c r="J119" s="5">
        <v>30</v>
      </c>
      <c r="K119" s="5">
        <v>30</v>
      </c>
      <c r="L119" s="7">
        <f>I119*$E119/$H119</f>
        <v>4.5000000112499992</v>
      </c>
      <c r="M119" s="11">
        <f>IF($H119&lt;&gt;0,$D119*$E119*$F119*J119/$H119,)</f>
        <v>9.0000000224999983</v>
      </c>
      <c r="N119" s="13">
        <f>IF($B119 = "Ballistic", 1.25*$M119,$M119)</f>
        <v>11.250000028124997</v>
      </c>
      <c r="O119" s="13">
        <f>IF($B119 = "Ballistic", $N119*1.5,$N119)</f>
        <v>16.875000042187494</v>
      </c>
      <c r="P119" s="7">
        <f>IF($H119&lt;&gt;0,$D119*$E119*$F119*K119/$H119,)</f>
        <v>9.0000000224999983</v>
      </c>
      <c r="Q119" s="9">
        <f>$D119*$J119*$F119</f>
        <v>60</v>
      </c>
      <c r="R119" s="9">
        <f>$D119*$E119*$F119*$K119</f>
        <v>60</v>
      </c>
      <c r="S119" s="5">
        <v>12</v>
      </c>
      <c r="T119" s="12">
        <v>20</v>
      </c>
      <c r="U119" s="5">
        <f>VLOOKUP(H119,Standard_F_Rates,2)</f>
        <v>6</v>
      </c>
      <c r="V119" s="5">
        <f>MAX(VLOOKUP(R119,Alt_Dmg_Table,2),IF(C119="Medium",VLOOKUP(M119,Medium_Weapon_Damage_Table,2),IF(C119="Small",VLOOKUP(M119,Small_Weapon_Damage_Table,2),IF(C119="Projector",VLOOKUP(M119,Projector_Weapon_Damage_Table,2),VLOOKUP(M119,Large_Weapon_Damage_Table,2)))))</f>
        <v>3</v>
      </c>
      <c r="W119" s="5">
        <f>VLOOKUP(AA119+AB119,Standard_Accuracy_Table,2)</f>
        <v>3</v>
      </c>
      <c r="X119" s="5">
        <f>VLOOKUP(Y119,Standard_Range_Table,2)</f>
        <v>3</v>
      </c>
      <c r="Y119" s="5">
        <v>800</v>
      </c>
      <c r="Z119" s="7">
        <f>$D119*$E119/$H119</f>
        <v>0.30000000075</v>
      </c>
      <c r="AA119" s="5">
        <v>4</v>
      </c>
      <c r="AB119" s="5"/>
    </row>
    <row r="120" spans="1:28" s="2" customFormat="1" x14ac:dyDescent="0.25">
      <c r="A120" s="5" t="s">
        <v>5</v>
      </c>
      <c r="B120" s="5" t="s">
        <v>16</v>
      </c>
      <c r="C120" s="5" t="s">
        <v>71</v>
      </c>
      <c r="D120" s="5">
        <f>IF(LEFT($A120,4) = "Dual",2,IF(LEFT($A120,6) = "Triple",3,1))</f>
        <v>1</v>
      </c>
      <c r="E120" s="5">
        <v>1</v>
      </c>
      <c r="F120" s="6">
        <v>1</v>
      </c>
      <c r="G120" s="5">
        <v>5</v>
      </c>
      <c r="H120" s="7">
        <f>IF(Table12[[#This Row],[Barrels]]&gt;1,Table12[[#This Row],[Recharge]]*1.33333333,Table12[[#This Row],[Recharge]])</f>
        <v>5</v>
      </c>
      <c r="I120" s="5">
        <v>45</v>
      </c>
      <c r="J120" s="5">
        <v>45</v>
      </c>
      <c r="K120" s="5">
        <v>45</v>
      </c>
      <c r="L120" s="7">
        <f>I120*$E120/$H120</f>
        <v>9</v>
      </c>
      <c r="M120" s="11">
        <f>IF($H120&lt;&gt;0,$D120*$E120*$F120*J120/$H120,)</f>
        <v>9</v>
      </c>
      <c r="N120" s="13">
        <f>IF($B120 = "Ballistic", 1.25*$M120,$M120)</f>
        <v>11.25</v>
      </c>
      <c r="O120" s="13">
        <f>IF($B120 = "Ballistic", $N120*1.5,$N120)</f>
        <v>16.875</v>
      </c>
      <c r="P120" s="7">
        <f>IF($H120&lt;&gt;0,$D120*$E120*$F120*K120/$H120,)</f>
        <v>9</v>
      </c>
      <c r="Q120" s="9">
        <f>$D120*$J120*$F120</f>
        <v>45</v>
      </c>
      <c r="R120" s="9">
        <f>$D120*$E120*$F120*$K120</f>
        <v>45</v>
      </c>
      <c r="S120" s="5">
        <v>12</v>
      </c>
      <c r="T120" s="12">
        <v>10</v>
      </c>
      <c r="U120" s="5">
        <f>VLOOKUP(H120,Standard_F_Rates,2)</f>
        <v>8</v>
      </c>
      <c r="V120" s="5">
        <f>MAX(VLOOKUP(R120,Alt_Dmg_Table,2),IF(C120="Medium",VLOOKUP(M120,Medium_Weapon_Damage_Table,2),IF(C120="Small",VLOOKUP(M120,Small_Weapon_Damage_Table,2),IF(C120="Projector",VLOOKUP(M120,Projector_Weapon_Damage_Table,2),VLOOKUP(M120,Large_Weapon_Damage_Table,2)))))</f>
        <v>3</v>
      </c>
      <c r="W120" s="5">
        <f>VLOOKUP(AA120+AB120,Standard_Accuracy_Table,2)</f>
        <v>3</v>
      </c>
      <c r="X120" s="5">
        <f>VLOOKUP(Y120,Standard_Range_Table,2)</f>
        <v>3</v>
      </c>
      <c r="Y120" s="5">
        <v>800</v>
      </c>
      <c r="Z120" s="7">
        <f>$D120*$E120/$H120</f>
        <v>0.2</v>
      </c>
      <c r="AA120" s="5">
        <v>4</v>
      </c>
      <c r="AB120" s="5"/>
    </row>
    <row r="121" spans="1:28" s="2" customFormat="1" x14ac:dyDescent="0.25">
      <c r="A121" s="5" t="s">
        <v>17</v>
      </c>
      <c r="B121" s="5" t="s">
        <v>67</v>
      </c>
      <c r="C121" s="5" t="s">
        <v>71</v>
      </c>
      <c r="D121" s="5">
        <f>IF(LEFT($A121,4) = "Dual",2,IF(LEFT($A121,6) = "Triple",3,1))</f>
        <v>1</v>
      </c>
      <c r="E121" s="5">
        <v>3</v>
      </c>
      <c r="F121" s="6">
        <v>1</v>
      </c>
      <c r="G121" s="5">
        <v>3</v>
      </c>
      <c r="H121" s="7">
        <f>IF(Table12[[#This Row],[Barrels]]&gt;1,Table12[[#This Row],[Recharge]]*1.33333333,Table12[[#This Row],[Recharge]])</f>
        <v>3</v>
      </c>
      <c r="I121" s="5">
        <v>10</v>
      </c>
      <c r="J121" s="5">
        <v>8</v>
      </c>
      <c r="K121" s="5">
        <v>6</v>
      </c>
      <c r="L121" s="7">
        <f>I121*$E121/$H121</f>
        <v>10</v>
      </c>
      <c r="M121" s="11">
        <f>IF($H121&lt;&gt;0,$D121*$E121*$F121*J121/$H121,)</f>
        <v>8</v>
      </c>
      <c r="N121" s="13">
        <f>IF($B121 = "Ballistic", 1.25*$M121,$M121)</f>
        <v>8</v>
      </c>
      <c r="O121" s="13">
        <f>IF($B121 = "Ballistic", $N121*1.5,$N121)</f>
        <v>8</v>
      </c>
      <c r="P121" s="7">
        <f>IF($H121&lt;&gt;0,$D121*$E121*$F121*K121/$H121,)</f>
        <v>6</v>
      </c>
      <c r="Q121" s="9">
        <f>$D121*$J121*$F121</f>
        <v>8</v>
      </c>
      <c r="R121" s="9">
        <f>$D121*$E121*$F121*$K121</f>
        <v>18</v>
      </c>
      <c r="S121" s="5">
        <v>10</v>
      </c>
      <c r="T121" s="12">
        <v>10</v>
      </c>
      <c r="U121" s="5">
        <f>VLOOKUP(H121,Standard_F_Rates,2)</f>
        <v>9</v>
      </c>
      <c r="V121" s="5">
        <f>MAX(VLOOKUP(R121,Alt_Dmg_Table,2),IF(C121="Medium",VLOOKUP(M121,Medium_Weapon_Damage_Table,2),IF(C121="Small",VLOOKUP(M121,Small_Weapon_Damage_Table,2),IF(C121="Projector",VLOOKUP(M121,Projector_Weapon_Damage_Table,2),VLOOKUP(M121,Large_Weapon_Damage_Table,2)))))</f>
        <v>3</v>
      </c>
      <c r="W121" s="5">
        <f>VLOOKUP(AA121+AB121,Standard_Accuracy_Table,2)</f>
        <v>7</v>
      </c>
      <c r="X121" s="5">
        <f>VLOOKUP(Y121,Standard_Range_Table,2)</f>
        <v>4</v>
      </c>
      <c r="Y121" s="5">
        <v>1000</v>
      </c>
      <c r="Z121" s="7">
        <f>$D121*$E121/$H121</f>
        <v>1</v>
      </c>
      <c r="AA121" s="5">
        <v>1</v>
      </c>
      <c r="AB121" s="5"/>
    </row>
    <row r="122" spans="1:28" x14ac:dyDescent="0.25">
      <c r="A122" s="5" t="s">
        <v>68</v>
      </c>
      <c r="B122" s="5" t="s">
        <v>68</v>
      </c>
      <c r="C122" s="5" t="s">
        <v>71</v>
      </c>
      <c r="D122" s="5">
        <f>IF(LEFT($A122,4) = "Dual",2,IF(LEFT($A122,6) = "Triple",3,1))</f>
        <v>1</v>
      </c>
      <c r="E122" s="5">
        <v>1</v>
      </c>
      <c r="F122" s="6">
        <v>0.75</v>
      </c>
      <c r="G122" s="5">
        <v>8</v>
      </c>
      <c r="H122" s="7">
        <f>IF(Table12[[#This Row],[Barrels]]&gt;1,Table12[[#This Row],[Recharge]]*1.33333333,Table12[[#This Row],[Recharge]])</f>
        <v>8</v>
      </c>
      <c r="I122" s="5">
        <v>80</v>
      </c>
      <c r="J122" s="5">
        <v>80</v>
      </c>
      <c r="K122" s="5">
        <v>80</v>
      </c>
      <c r="L122" s="7">
        <f>I122*$E122/$H122</f>
        <v>10</v>
      </c>
      <c r="M122" s="11">
        <f>IF($H122&lt;&gt;0,$D122*$E122*$F122*J122/$H122,)</f>
        <v>7.5</v>
      </c>
      <c r="N122" s="13">
        <f>IF($B122 = "Ballistic", 1.25*$M122,$M122)</f>
        <v>7.5</v>
      </c>
      <c r="O122" s="13">
        <f>IF($B122 = "Ballistic", $N122*1.5,$N122)</f>
        <v>7.5</v>
      </c>
      <c r="P122" s="7">
        <f>IF($H122&lt;&gt;0,$D122*$E122*$F122*K122/$H122,)</f>
        <v>7.5</v>
      </c>
      <c r="Q122" s="26">
        <f>$D122*$J122*$F122</f>
        <v>60</v>
      </c>
      <c r="R122" s="26">
        <f>$D122*$E122*$F122*$K122</f>
        <v>60</v>
      </c>
      <c r="S122" s="5"/>
      <c r="T122" s="12">
        <v>10</v>
      </c>
      <c r="U122" s="5">
        <f>VLOOKUP(H122,Standard_F_Rates,2)</f>
        <v>5</v>
      </c>
      <c r="V122" s="5">
        <f>MAX(VLOOKUP(R122,Alt_Dmg_Table,2),IF(C122="Medium",VLOOKUP(M122,Medium_Weapon_Damage_Table,2),IF(C122="Small",VLOOKUP(M122,Small_Weapon_Damage_Table,2),IF(C122="Projector",VLOOKUP(M122,Projector_Weapon_Damage_Table,2),VLOOKUP(M122,Large_Weapon_Damage_Table,2)))))</f>
        <v>3</v>
      </c>
      <c r="W122" s="5">
        <f>VLOOKUP(AA122+AB122,Standard_Accuracy_Table,2)</f>
        <v>10</v>
      </c>
      <c r="X122" s="5">
        <f>VLOOKUP(Y122,Standard_Range_Table,2)</f>
        <v>2</v>
      </c>
      <c r="Y122" s="5">
        <v>375</v>
      </c>
      <c r="Z122" s="7">
        <f>$D122*$E122/$H122</f>
        <v>0.125</v>
      </c>
      <c r="AA122" s="5">
        <v>0</v>
      </c>
      <c r="AB122" s="5"/>
    </row>
    <row r="123" spans="1:28" x14ac:dyDescent="0.25">
      <c r="A123" s="5" t="s">
        <v>202</v>
      </c>
      <c r="B123" s="5" t="s">
        <v>16</v>
      </c>
      <c r="C123" s="5" t="s">
        <v>71</v>
      </c>
      <c r="D123" s="5">
        <f>IF(LEFT($A123,4) = "Dual",2,IF(LEFT($A123,6) = "Triple",3,1))</f>
        <v>2</v>
      </c>
      <c r="E123" s="5">
        <v>1</v>
      </c>
      <c r="F123" s="6">
        <v>1</v>
      </c>
      <c r="G123" s="5">
        <v>8</v>
      </c>
      <c r="H123" s="7">
        <f>IF(Table12[[#This Row],[Barrels]]&gt;1,Table12[[#This Row],[Recharge]]*1.33333333,Table12[[#This Row],[Recharge]])</f>
        <v>10.666666640000001</v>
      </c>
      <c r="I123" s="5">
        <v>35</v>
      </c>
      <c r="J123" s="5">
        <v>35</v>
      </c>
      <c r="K123" s="5">
        <v>35</v>
      </c>
      <c r="L123" s="7">
        <f>I123*$E123/$H123</f>
        <v>3.2812500082031248</v>
      </c>
      <c r="M123" s="11">
        <f>IF($H123&lt;&gt;0,$D123*$E123*$F123*J123/$H123,)</f>
        <v>6.5625000164062497</v>
      </c>
      <c r="N123" s="13">
        <f>IF($B123 = "Ballistic", 1.25*$M123,$M123)</f>
        <v>8.2031250205078123</v>
      </c>
      <c r="O123" s="13">
        <f>IF($B123 = "Ballistic", $N123*1.5,$N123)</f>
        <v>12.304687530761719</v>
      </c>
      <c r="P123" s="7">
        <f>IF($H123&lt;&gt;0,$D123*$E123*$F123*K123/$H123,)</f>
        <v>6.5625000164062497</v>
      </c>
      <c r="Q123" s="26">
        <f>$D123*$J123*$F123</f>
        <v>70</v>
      </c>
      <c r="R123" s="26">
        <f>$D123*$E123*$F123*$K123</f>
        <v>70</v>
      </c>
      <c r="S123" s="5">
        <v>10</v>
      </c>
      <c r="T123" s="12">
        <v>20</v>
      </c>
      <c r="U123" s="5">
        <f>VLOOKUP(H123,Standard_F_Rates,2)</f>
        <v>3</v>
      </c>
      <c r="V123" s="5">
        <f>MAX(VLOOKUP(R123,Alt_Dmg_Table,2),IF(C123="Medium",VLOOKUP(M123,Medium_Weapon_Damage_Table,2),IF(C123="Small",VLOOKUP(M123,Small_Weapon_Damage_Table,2),IF(C123="Projector",VLOOKUP(M123,Projector_Weapon_Damage_Table,2),VLOOKUP(M123,Large_Weapon_Damage_Table,2)))))</f>
        <v>2</v>
      </c>
      <c r="W123" s="5">
        <f>VLOOKUP(AA123+AB123,Standard_Accuracy_Table,2)</f>
        <v>7</v>
      </c>
      <c r="X123" s="5">
        <f>VLOOKUP(Y123,Standard_Range_Table,2)</f>
        <v>5</v>
      </c>
      <c r="Y123" s="5">
        <v>1200</v>
      </c>
      <c r="Z123" s="7">
        <f>$D123*$E123/$H123</f>
        <v>0.18750000046874998</v>
      </c>
      <c r="AA123" s="5">
        <v>1</v>
      </c>
      <c r="AB123" s="5"/>
    </row>
    <row r="124" spans="1:28" x14ac:dyDescent="0.25">
      <c r="A124" s="5" t="s">
        <v>3</v>
      </c>
      <c r="B124" s="5" t="s">
        <v>16</v>
      </c>
      <c r="C124" s="5" t="s">
        <v>71</v>
      </c>
      <c r="D124" s="5">
        <f>IF(LEFT($A124,4) = "Dual",2,IF(LEFT($A124,6) = "Triple",3,1))</f>
        <v>1</v>
      </c>
      <c r="E124" s="5">
        <v>1</v>
      </c>
      <c r="F124" s="6">
        <v>1</v>
      </c>
      <c r="G124" s="5">
        <v>5</v>
      </c>
      <c r="H124" s="7">
        <f>IF(Table12[[#This Row],[Barrels]]&gt;1,Table12[[#This Row],[Recharge]]*1.33333333,Table12[[#This Row],[Recharge]])</f>
        <v>5</v>
      </c>
      <c r="I124" s="5">
        <v>30</v>
      </c>
      <c r="J124" s="5">
        <v>30</v>
      </c>
      <c r="K124" s="5">
        <v>30</v>
      </c>
      <c r="L124" s="7">
        <f>I124*$E124/$H124</f>
        <v>6</v>
      </c>
      <c r="M124" s="11">
        <f>IF($H124&lt;&gt;0,$D124*$E124*$F124*J124/$H124,)</f>
        <v>6</v>
      </c>
      <c r="N124" s="13">
        <f>IF($B124 = "Ballistic", 1.25*$M124,$M124)</f>
        <v>7.5</v>
      </c>
      <c r="O124" s="13">
        <f>IF($B124 = "Ballistic", $N124*1.5,$N124)</f>
        <v>11.25</v>
      </c>
      <c r="P124" s="7">
        <f>IF($H124&lt;&gt;0,$D124*$E124*$F124*K124/$H124,)</f>
        <v>6</v>
      </c>
      <c r="Q124" s="32">
        <f>$D124*$J124*$F124</f>
        <v>30</v>
      </c>
      <c r="R124" s="32">
        <f>$D124*$E124*$F124*$K124</f>
        <v>30</v>
      </c>
      <c r="S124" s="5">
        <v>12</v>
      </c>
      <c r="T124" s="12">
        <v>10</v>
      </c>
      <c r="U124" s="5">
        <f>VLOOKUP(H124,Standard_F_Rates,2)</f>
        <v>8</v>
      </c>
      <c r="V124" s="5">
        <f>MAX(VLOOKUP(R124,Alt_Dmg_Table,2),IF(C124="Medium",VLOOKUP(M124,Medium_Weapon_Damage_Table,2),IF(C124="Small",VLOOKUP(M124,Small_Weapon_Damage_Table,2),IF(C124="Projector",VLOOKUP(M124,Projector_Weapon_Damage_Table,2),VLOOKUP(M124,Large_Weapon_Damage_Table,2)))))</f>
        <v>2</v>
      </c>
      <c r="W124" s="5">
        <f>VLOOKUP(AA124+AB124,Standard_Accuracy_Table,2)</f>
        <v>3</v>
      </c>
      <c r="X124" s="5">
        <f>VLOOKUP(Y124,Standard_Range_Table,2)</f>
        <v>3</v>
      </c>
      <c r="Y124" s="5">
        <v>800</v>
      </c>
      <c r="Z124" s="7">
        <f>$D124*$E124/$H124</f>
        <v>0.2</v>
      </c>
      <c r="AA124" s="5">
        <v>4</v>
      </c>
      <c r="AB124" s="5"/>
    </row>
    <row r="125" spans="1:28" x14ac:dyDescent="0.25">
      <c r="A125" s="5" t="s">
        <v>201</v>
      </c>
      <c r="B125" s="5" t="s">
        <v>16</v>
      </c>
      <c r="C125" s="5" t="s">
        <v>71</v>
      </c>
      <c r="D125" s="5">
        <f>IF(LEFT($A125,4) = "Dual",2,IF(LEFT($A125,6) = "Triple",3,1))</f>
        <v>1</v>
      </c>
      <c r="E125" s="5">
        <v>1</v>
      </c>
      <c r="F125" s="6">
        <v>1</v>
      </c>
      <c r="G125" s="5">
        <v>8</v>
      </c>
      <c r="H125" s="7">
        <f>IF(Table12[[#This Row],[Barrels]]&gt;1,Table12[[#This Row],[Recharge]]*1.33333333,Table12[[#This Row],[Recharge]])</f>
        <v>8</v>
      </c>
      <c r="I125" s="5">
        <v>35</v>
      </c>
      <c r="J125" s="5">
        <v>35</v>
      </c>
      <c r="K125" s="5">
        <v>35</v>
      </c>
      <c r="L125" s="7">
        <f>I125*$E125/$H125</f>
        <v>4.375</v>
      </c>
      <c r="M125" s="11">
        <f>IF($H125&lt;&gt;0,$D125*$E125*$F125*J125/$H125,)</f>
        <v>4.375</v>
      </c>
      <c r="N125" s="13">
        <f>IF($B125 = "Ballistic", 1.25*$M125,$M125)</f>
        <v>5.46875</v>
      </c>
      <c r="O125" s="13">
        <f>IF($B125 = "Ballistic", $N125*1.5,$N125)</f>
        <v>8.203125</v>
      </c>
      <c r="P125" s="7">
        <f>IF($H125&lt;&gt;0,$D125*$E125*$F125*K125/$H125,)</f>
        <v>4.375</v>
      </c>
      <c r="Q125" s="32">
        <f>$D125*$J125*$F125</f>
        <v>35</v>
      </c>
      <c r="R125" s="32">
        <f>$D125*$E125*$F125*$K125</f>
        <v>35</v>
      </c>
      <c r="S125" s="5">
        <v>10</v>
      </c>
      <c r="T125" s="12">
        <v>10</v>
      </c>
      <c r="U125" s="5">
        <f>VLOOKUP(H125,Standard_F_Rates,2)</f>
        <v>5</v>
      </c>
      <c r="V125" s="5">
        <f>MAX(VLOOKUP(R125,Alt_Dmg_Table,2),IF(C125="Medium",VLOOKUP(M125,Medium_Weapon_Damage_Table,2),IF(C125="Small",VLOOKUP(M125,Small_Weapon_Damage_Table,2),IF(C125="Projector",VLOOKUP(M125,Projector_Weapon_Damage_Table,2),VLOOKUP(M125,Large_Weapon_Damage_Table,2)))))</f>
        <v>1</v>
      </c>
      <c r="W125" s="5">
        <f>VLOOKUP(AA125+AB125,Standard_Accuracy_Table,2)</f>
        <v>7</v>
      </c>
      <c r="X125" s="5">
        <f>VLOOKUP(Y125,Standard_Range_Table,2)</f>
        <v>5</v>
      </c>
      <c r="Y125" s="5">
        <v>1200</v>
      </c>
      <c r="Z125" s="7">
        <f>$D125*$E125/$H125</f>
        <v>0.125</v>
      </c>
      <c r="AA125" s="5">
        <v>1</v>
      </c>
      <c r="AB125" s="5"/>
    </row>
    <row r="126" spans="1:28" x14ac:dyDescent="0.25">
      <c r="A126" s="5" t="s">
        <v>203</v>
      </c>
      <c r="B126" s="5" t="s">
        <v>203</v>
      </c>
      <c r="C126" s="5" t="s">
        <v>203</v>
      </c>
      <c r="D126" s="5">
        <f>IF(LEFT($A126,4) = "Dual",2,IF(LEFT($A126,6) = "Triple",3,1))</f>
        <v>1</v>
      </c>
      <c r="E126" s="5">
        <v>1</v>
      </c>
      <c r="F126" s="6">
        <v>1</v>
      </c>
      <c r="G126" s="5">
        <v>25</v>
      </c>
      <c r="H126" s="7">
        <f>IF(Table12[[#This Row],[Barrels]]&gt;1,Table12[[#This Row],[Recharge]]*1.33333333,Table12[[#This Row],[Recharge]])</f>
        <v>25</v>
      </c>
      <c r="I126" s="5">
        <v>50</v>
      </c>
      <c r="J126" s="5">
        <v>50</v>
      </c>
      <c r="K126" s="5">
        <v>50</v>
      </c>
      <c r="L126" s="7">
        <f>I126*$E126/$H126</f>
        <v>2</v>
      </c>
      <c r="M126" s="11">
        <f>IF($H126&lt;&gt;0,$D126*$E126*$F126*J126/$H126,)</f>
        <v>2</v>
      </c>
      <c r="N126" s="13">
        <f>IF($B126 = "Ballistic", 1.25*$M126,$M126)</f>
        <v>2</v>
      </c>
      <c r="O126" s="13">
        <f>IF($B126 = "Ballistic", $N126*1.5,$N126)</f>
        <v>2</v>
      </c>
      <c r="P126" s="7">
        <f>IF($H126&lt;&gt;0,$D126*$E126*$F126*K126/$H126,)</f>
        <v>2</v>
      </c>
      <c r="Q126" s="26">
        <f>$D126*$J126*$F126</f>
        <v>50</v>
      </c>
      <c r="R126" s="26">
        <f>$D126*$E126*$F126*$K126</f>
        <v>50</v>
      </c>
      <c r="S126" s="5">
        <v>0</v>
      </c>
      <c r="T126" s="12">
        <v>0</v>
      </c>
      <c r="U126" s="5">
        <f>VLOOKUP(H126,Standard_F_Rates,2)</f>
        <v>1</v>
      </c>
      <c r="V126" s="5">
        <f>MAX(VLOOKUP(R126,Alt_Dmg_Table,2),IF(C126="Medium",VLOOKUP(M126,Medium_Weapon_Damage_Table,2),IF(C126="Small",VLOOKUP(M126,Small_Weapon_Damage_Table,2),IF(C126="Projector",VLOOKUP(M126,Projector_Weapon_Damage_Table,2),VLOOKUP(M126,Large_Weapon_Damage_Table,2)))))</f>
        <v>1</v>
      </c>
      <c r="W126" s="5">
        <f>VLOOKUP(AA126+AB126,Standard_Accuracy_Table,2)</f>
        <v>10</v>
      </c>
      <c r="X126" s="5">
        <f>VLOOKUP(Y126,Standard_Range_Table,2)</f>
        <v>2</v>
      </c>
      <c r="Y126" s="5">
        <v>500</v>
      </c>
      <c r="Z126" s="7">
        <f>$D126*$E126/$H126</f>
        <v>0.04</v>
      </c>
      <c r="AA126" s="10">
        <v>0</v>
      </c>
      <c r="AB126" s="10"/>
    </row>
    <row r="127" spans="1:28" x14ac:dyDescent="0.25">
      <c r="A127" s="5" t="s">
        <v>204</v>
      </c>
      <c r="B127" s="5" t="s">
        <v>53</v>
      </c>
      <c r="C127" s="5" t="s">
        <v>203</v>
      </c>
      <c r="D127" s="5">
        <f>IF(LEFT($A127,4) = "Dual",2,IF(LEFT($A127,6) = "Triple",3,1))</f>
        <v>1</v>
      </c>
      <c r="E127" s="5">
        <v>1</v>
      </c>
      <c r="F127" s="6">
        <v>1</v>
      </c>
      <c r="G127" s="5">
        <v>25</v>
      </c>
      <c r="H127" s="7">
        <f>IF(Table12[[#This Row],[Barrels]]&gt;1,Table12[[#This Row],[Recharge]]*1.33333333,Table12[[#This Row],[Recharge]])</f>
        <v>25</v>
      </c>
      <c r="I127" s="5">
        <v>50</v>
      </c>
      <c r="J127" s="5">
        <v>50</v>
      </c>
      <c r="K127" s="5">
        <v>50</v>
      </c>
      <c r="L127" s="7">
        <f>I127*$E127/$H127</f>
        <v>2</v>
      </c>
      <c r="M127" s="11">
        <f>IF($H127&lt;&gt;0,$D127*$E127*$F127*J127/$H127,)</f>
        <v>2</v>
      </c>
      <c r="N127" s="13">
        <f>IF($B127 = "Ballistic", 1.25*$M127,$M127)</f>
        <v>2</v>
      </c>
      <c r="O127" s="13">
        <f>IF($B127 = "Ballistic", $N127*1.5,$N127)</f>
        <v>2</v>
      </c>
      <c r="P127" s="7">
        <f>IF($H127&lt;&gt;0,$D127*$E127*$F127*K127/$H127,)</f>
        <v>2</v>
      </c>
      <c r="Q127" s="9">
        <f>$D127*$J127*$F127</f>
        <v>50</v>
      </c>
      <c r="R127" s="9">
        <f>$D127*$E127*$F127*$K127</f>
        <v>50</v>
      </c>
      <c r="S127" s="5">
        <v>0</v>
      </c>
      <c r="T127" s="12">
        <v>0</v>
      </c>
      <c r="U127" s="5">
        <f>VLOOKUP(H127,Standard_F_Rates,2)</f>
        <v>1</v>
      </c>
      <c r="V127" s="5">
        <f>MAX(VLOOKUP(R127,Alt_Dmg_Table,2),IF(C127="Medium",VLOOKUP(M127,Medium_Weapon_Damage_Table,2),IF(C127="Small",VLOOKUP(M127,Small_Weapon_Damage_Table,2),IF(C127="Projector",VLOOKUP(M127,Projector_Weapon_Damage_Table,2),VLOOKUP(M127,Large_Weapon_Damage_Table,2)))))</f>
        <v>1</v>
      </c>
      <c r="W127" s="5">
        <f>VLOOKUP(AA127+AB127,Standard_Accuracy_Table,2)</f>
        <v>10</v>
      </c>
      <c r="X127" s="5">
        <f>VLOOKUP(Y127,Standard_Range_Table,2)</f>
        <v>2</v>
      </c>
      <c r="Y127" s="5">
        <v>500</v>
      </c>
      <c r="Z127" s="7">
        <f>$D127*$E127/$H127</f>
        <v>0.04</v>
      </c>
      <c r="AA127" s="10">
        <v>0</v>
      </c>
      <c r="AB127" s="10"/>
    </row>
    <row r="128" spans="1:28" x14ac:dyDescent="0.25">
      <c r="A128" s="5" t="s">
        <v>33</v>
      </c>
      <c r="B128" s="5" t="s">
        <v>19</v>
      </c>
      <c r="C128" s="5" t="s">
        <v>72</v>
      </c>
      <c r="D128" s="5">
        <f>IF(LEFT($A128,4) = "Dual",2,IF(LEFT($A128,6) = "Triple",3,1))</f>
        <v>1</v>
      </c>
      <c r="E128" s="5">
        <v>1</v>
      </c>
      <c r="F128" s="6">
        <v>4</v>
      </c>
      <c r="G128" s="5">
        <v>10</v>
      </c>
      <c r="H128" s="7">
        <f>IF(Table12[[#This Row],[Barrels]]&gt;1,Table12[[#This Row],[Recharge]]*1.33333333,Table12[[#This Row],[Recharge]])</f>
        <v>10</v>
      </c>
      <c r="I128" s="5">
        <v>0</v>
      </c>
      <c r="J128" s="5">
        <v>0</v>
      </c>
      <c r="K128" s="5">
        <v>0</v>
      </c>
      <c r="L128" s="7">
        <f>I128*$E128/$H128</f>
        <v>0</v>
      </c>
      <c r="M128" s="11">
        <f>IF($H128&lt;&gt;0,$D128*$E128*$F128*J128/$H128,)</f>
        <v>0</v>
      </c>
      <c r="N128" s="13">
        <f>IF($B128 = "Ballistic", 1.25*$M128,$M128)</f>
        <v>0</v>
      </c>
      <c r="O128" s="13">
        <f>IF($B128 = "Ballistic", $N128*1.5,$N128)</f>
        <v>0</v>
      </c>
      <c r="P128" s="7">
        <f>IF($H128&lt;&gt;0,$D128*$E128*$F128*K128/$H128,)</f>
        <v>0</v>
      </c>
      <c r="Q128" s="9">
        <f>$D128*$J128*$F128</f>
        <v>0</v>
      </c>
      <c r="R128" s="9">
        <f>$D128*$E128*$F128*$K128</f>
        <v>0</v>
      </c>
      <c r="S128" s="5">
        <v>0</v>
      </c>
      <c r="T128" s="12">
        <v>0</v>
      </c>
      <c r="U128" s="5">
        <f>VLOOKUP(H128,Standard_F_Rates,2)</f>
        <v>4</v>
      </c>
      <c r="V128" s="5">
        <f>MAX(VLOOKUP(R128,Alt_Dmg_Table,2),IF(C128="Medium",VLOOKUP(M128,Medium_Weapon_Damage_Table,2),IF(C128="Small",VLOOKUP(M128,Small_Weapon_Damage_Table,2),IF(C128="Projector",VLOOKUP(M128,Projector_Weapon_Damage_Table,2),VLOOKUP(M128,Large_Weapon_Damage_Table,2)))))</f>
        <v>0</v>
      </c>
      <c r="W128" s="5">
        <f>VLOOKUP(AA128+AB128,Standard_Accuracy_Table,2)</f>
        <v>10</v>
      </c>
      <c r="X128" s="5">
        <f>VLOOKUP(Y128,Standard_Range_Table,2)</f>
        <v>4</v>
      </c>
      <c r="Y128" s="5">
        <v>900</v>
      </c>
      <c r="Z128" s="7">
        <f>$D128*$E128/$H128</f>
        <v>0.1</v>
      </c>
      <c r="AA128" s="5">
        <v>0</v>
      </c>
      <c r="AB128" s="5"/>
    </row>
    <row r="129" spans="1:27" x14ac:dyDescent="0.25">
      <c r="F129" s="3"/>
      <c r="M129" s="3"/>
      <c r="N129" s="3"/>
      <c r="Q129" s="10"/>
    </row>
    <row r="130" spans="1:27" ht="23.25" x14ac:dyDescent="0.35">
      <c r="A130" s="47" t="s">
        <v>320</v>
      </c>
      <c r="Q130" s="10"/>
    </row>
    <row r="131" spans="1:27" s="56" customFormat="1" ht="20.25" customHeight="1" x14ac:dyDescent="0.3">
      <c r="A131" s="51" t="s">
        <v>0</v>
      </c>
      <c r="B131" s="51" t="s">
        <v>15</v>
      </c>
      <c r="C131" s="51" t="s">
        <v>64</v>
      </c>
      <c r="D131" s="51" t="s">
        <v>143</v>
      </c>
      <c r="E131" s="51" t="s">
        <v>173</v>
      </c>
      <c r="F131" s="52" t="s">
        <v>244</v>
      </c>
      <c r="G131" s="51" t="s">
        <v>185</v>
      </c>
      <c r="H131" s="51" t="s">
        <v>184</v>
      </c>
      <c r="I131" s="51" t="s">
        <v>180</v>
      </c>
      <c r="J131" s="51" t="s">
        <v>181</v>
      </c>
      <c r="K131" s="51" t="s">
        <v>182</v>
      </c>
      <c r="L131" s="51" t="s">
        <v>186</v>
      </c>
      <c r="M131" s="53" t="s">
        <v>88</v>
      </c>
      <c r="N131" s="53" t="s">
        <v>164</v>
      </c>
      <c r="O131" s="51" t="s">
        <v>183</v>
      </c>
      <c r="P131" s="51" t="s">
        <v>172</v>
      </c>
      <c r="Q131" s="51" t="s">
        <v>199</v>
      </c>
      <c r="R131" s="51" t="s">
        <v>166</v>
      </c>
      <c r="S131" s="51" t="s">
        <v>165</v>
      </c>
      <c r="T131" s="51" t="s">
        <v>59</v>
      </c>
      <c r="U131" s="51" t="s">
        <v>60</v>
      </c>
      <c r="V131" s="51" t="s">
        <v>61</v>
      </c>
      <c r="W131" s="51" t="s">
        <v>187</v>
      </c>
      <c r="X131" s="51" t="s">
        <v>174</v>
      </c>
      <c r="Y131" s="51" t="s">
        <v>175</v>
      </c>
      <c r="Z131" s="55" t="s">
        <v>197</v>
      </c>
      <c r="AA131" s="55" t="s">
        <v>196</v>
      </c>
    </row>
    <row r="132" spans="1:27" s="2" customFormat="1" x14ac:dyDescent="0.25">
      <c r="A132" s="5" t="s">
        <v>50</v>
      </c>
      <c r="B132" s="5" t="s">
        <v>84</v>
      </c>
      <c r="C132" s="5" t="s">
        <v>49</v>
      </c>
      <c r="D132" s="5">
        <f t="shared" ref="D132:D141" si="4">IF(LEFT($A132,4) = "Dual",2,IF(LEFT($A132,6) = "Triple",3,1))</f>
        <v>1</v>
      </c>
      <c r="E132" s="5">
        <v>30</v>
      </c>
      <c r="F132" s="6">
        <v>1</v>
      </c>
      <c r="G132" s="5">
        <v>13</v>
      </c>
      <c r="H132" s="5">
        <v>160</v>
      </c>
      <c r="I132" s="5">
        <v>300</v>
      </c>
      <c r="J132" s="5">
        <v>120</v>
      </c>
      <c r="K132" s="7">
        <f t="shared" ref="K132:K141" si="5">IF($G132&lt;&gt;0,$D132*$E132*$F132*H132/$G132,)</f>
        <v>369.23076923076923</v>
      </c>
      <c r="L132" s="11">
        <f t="shared" ref="L132:L141" si="6">IF($G132&lt;&gt;0,$D132*$E132*$F132*I132/$G132,)</f>
        <v>692.30769230769226</v>
      </c>
      <c r="M132" s="13">
        <f t="shared" ref="M132:M141" si="7">IF($B132 = "Ballistic", 1.25*$L132,$L132)</f>
        <v>692.30769230769226</v>
      </c>
      <c r="N132" s="13">
        <f t="shared" ref="N132:N141" si="8">IF($B132 = "Ballistic", $M132*1.5,$M132)</f>
        <v>692.30769230769226</v>
      </c>
      <c r="O132" s="7">
        <f t="shared" ref="O132:O141" si="9">IF($G132&lt;&gt;0,$D132*$E132*$F132*J132/$G132,)</f>
        <v>276.92307692307691</v>
      </c>
      <c r="P132" s="9">
        <f t="shared" ref="P132:P141" si="10">$D132*$I132*$F132</f>
        <v>300</v>
      </c>
      <c r="Q132" s="9">
        <f t="shared" ref="Q132:Q141" si="11">$D132*$E132*$F132*$J132</f>
        <v>3600</v>
      </c>
      <c r="R132" s="5">
        <v>1000</v>
      </c>
      <c r="S132" s="12">
        <v>1250</v>
      </c>
      <c r="T132" s="5">
        <f t="shared" ref="T132:T141" si="12">VLOOKUP(G132,Standard_F_Rates,2)</f>
        <v>2</v>
      </c>
      <c r="U132" s="5">
        <f>VLOOKUP(L132,Projector_Weapon_Damage_Table,2)</f>
        <v>9</v>
      </c>
      <c r="V132" s="5">
        <f t="shared" ref="V132:V141" si="13">VLOOKUP(Z132+AA132,Standard_Accuracy_Table,2)</f>
        <v>1</v>
      </c>
      <c r="W132" s="5">
        <f t="shared" ref="W132:W141" si="14">VLOOKUP(X132,Standard_Range_Table,2)</f>
        <v>3</v>
      </c>
      <c r="X132" s="5">
        <v>800</v>
      </c>
      <c r="Y132" s="7">
        <f t="shared" ref="Y132:Y141" si="15">$D132*$E132/$G132</f>
        <v>2.3076923076923075</v>
      </c>
      <c r="Z132" s="5">
        <v>2</v>
      </c>
      <c r="AA132" s="5">
        <v>6</v>
      </c>
    </row>
    <row r="133" spans="1:27" s="2" customFormat="1" x14ac:dyDescent="0.25">
      <c r="A133" s="5" t="s">
        <v>63</v>
      </c>
      <c r="B133" s="5" t="s">
        <v>26</v>
      </c>
      <c r="C133" s="5" t="s">
        <v>49</v>
      </c>
      <c r="D133" s="5">
        <f t="shared" si="4"/>
        <v>1</v>
      </c>
      <c r="E133" s="5">
        <v>12</v>
      </c>
      <c r="F133" s="6">
        <v>1</v>
      </c>
      <c r="G133" s="5">
        <v>13</v>
      </c>
      <c r="H133" s="5">
        <v>600</v>
      </c>
      <c r="I133" s="5">
        <v>600</v>
      </c>
      <c r="J133" s="5">
        <v>600</v>
      </c>
      <c r="K133" s="7">
        <f t="shared" si="5"/>
        <v>553.84615384615381</v>
      </c>
      <c r="L133" s="11">
        <f t="shared" si="6"/>
        <v>553.84615384615381</v>
      </c>
      <c r="M133" s="13">
        <f t="shared" si="7"/>
        <v>553.84615384615381</v>
      </c>
      <c r="N133" s="13">
        <f t="shared" si="8"/>
        <v>553.84615384615381</v>
      </c>
      <c r="O133" s="7">
        <f t="shared" si="9"/>
        <v>553.84615384615381</v>
      </c>
      <c r="P133" s="9">
        <f t="shared" si="10"/>
        <v>600</v>
      </c>
      <c r="Q133" s="9">
        <f t="shared" si="11"/>
        <v>7200</v>
      </c>
      <c r="R133" s="5"/>
      <c r="S133" s="12">
        <v>1100</v>
      </c>
      <c r="T133" s="5">
        <f t="shared" si="12"/>
        <v>2</v>
      </c>
      <c r="U133" s="5">
        <f t="shared" ref="U133:U141" si="16">VLOOKUP(L133,Projector_Weapon_Damage_Table,2)</f>
        <v>8</v>
      </c>
      <c r="V133" s="5">
        <f t="shared" si="13"/>
        <v>10</v>
      </c>
      <c r="W133" s="5">
        <f t="shared" si="14"/>
        <v>2</v>
      </c>
      <c r="X133" s="5">
        <v>550</v>
      </c>
      <c r="Y133" s="7">
        <f t="shared" si="15"/>
        <v>0.92307692307692313</v>
      </c>
      <c r="Z133" s="5">
        <v>0</v>
      </c>
      <c r="AA133" s="5"/>
    </row>
    <row r="134" spans="1:27" s="2" customFormat="1" x14ac:dyDescent="0.25">
      <c r="A134" s="5" t="s">
        <v>103</v>
      </c>
      <c r="B134" s="5" t="s">
        <v>84</v>
      </c>
      <c r="C134" s="5" t="s">
        <v>49</v>
      </c>
      <c r="D134" s="5">
        <f t="shared" si="4"/>
        <v>1</v>
      </c>
      <c r="E134" s="5">
        <v>30</v>
      </c>
      <c r="F134" s="6">
        <v>1</v>
      </c>
      <c r="G134" s="5">
        <v>13</v>
      </c>
      <c r="H134" s="5">
        <v>128</v>
      </c>
      <c r="I134" s="5">
        <v>240</v>
      </c>
      <c r="J134" s="5">
        <v>96</v>
      </c>
      <c r="K134" s="7">
        <f t="shared" si="5"/>
        <v>295.38461538461536</v>
      </c>
      <c r="L134" s="11">
        <f t="shared" si="6"/>
        <v>553.84615384615381</v>
      </c>
      <c r="M134" s="13">
        <f t="shared" si="7"/>
        <v>553.84615384615381</v>
      </c>
      <c r="N134" s="13">
        <f t="shared" si="8"/>
        <v>553.84615384615381</v>
      </c>
      <c r="O134" s="7">
        <f t="shared" si="9"/>
        <v>221.53846153846155</v>
      </c>
      <c r="P134" s="9">
        <f t="shared" si="10"/>
        <v>240</v>
      </c>
      <c r="Q134" s="9">
        <f t="shared" si="11"/>
        <v>2880</v>
      </c>
      <c r="R134" s="5"/>
      <c r="S134" s="12">
        <v>1250</v>
      </c>
      <c r="T134" s="5">
        <f t="shared" si="12"/>
        <v>2</v>
      </c>
      <c r="U134" s="5">
        <f t="shared" si="16"/>
        <v>8</v>
      </c>
      <c r="V134" s="5">
        <f t="shared" si="13"/>
        <v>1</v>
      </c>
      <c r="W134" s="5">
        <f t="shared" si="14"/>
        <v>3</v>
      </c>
      <c r="X134" s="5">
        <v>800</v>
      </c>
      <c r="Y134" s="7">
        <f t="shared" si="15"/>
        <v>2.3076923076923075</v>
      </c>
      <c r="Z134" s="5">
        <v>2</v>
      </c>
      <c r="AA134" s="5">
        <v>6</v>
      </c>
    </row>
    <row r="135" spans="1:27" s="2" customFormat="1" x14ac:dyDescent="0.25">
      <c r="A135" s="5" t="s">
        <v>51</v>
      </c>
      <c r="B135" s="5" t="s">
        <v>84</v>
      </c>
      <c r="C135" s="5" t="s">
        <v>49</v>
      </c>
      <c r="D135" s="5">
        <f t="shared" si="4"/>
        <v>1</v>
      </c>
      <c r="E135" s="5">
        <v>30</v>
      </c>
      <c r="F135" s="6">
        <v>1</v>
      </c>
      <c r="G135" s="5">
        <v>13</v>
      </c>
      <c r="H135" s="5">
        <v>120</v>
      </c>
      <c r="I135" s="5">
        <v>220</v>
      </c>
      <c r="J135" s="5">
        <v>90</v>
      </c>
      <c r="K135" s="7">
        <f t="shared" si="5"/>
        <v>276.92307692307691</v>
      </c>
      <c r="L135" s="11">
        <f t="shared" si="6"/>
        <v>507.69230769230768</v>
      </c>
      <c r="M135" s="13">
        <f t="shared" si="7"/>
        <v>507.69230769230768</v>
      </c>
      <c r="N135" s="13">
        <f t="shared" si="8"/>
        <v>507.69230769230768</v>
      </c>
      <c r="O135" s="7">
        <f t="shared" si="9"/>
        <v>207.69230769230768</v>
      </c>
      <c r="P135" s="9">
        <f t="shared" si="10"/>
        <v>220</v>
      </c>
      <c r="Q135" s="9">
        <f t="shared" si="11"/>
        <v>2700</v>
      </c>
      <c r="R135" s="5">
        <v>700</v>
      </c>
      <c r="S135" s="12">
        <v>850</v>
      </c>
      <c r="T135" s="5">
        <f t="shared" si="12"/>
        <v>2</v>
      </c>
      <c r="U135" s="5">
        <f t="shared" si="16"/>
        <v>8</v>
      </c>
      <c r="V135" s="5">
        <f t="shared" si="13"/>
        <v>1</v>
      </c>
      <c r="W135" s="5">
        <f t="shared" si="14"/>
        <v>3</v>
      </c>
      <c r="X135" s="5">
        <v>750</v>
      </c>
      <c r="Y135" s="7">
        <f t="shared" si="15"/>
        <v>2.3076923076923075</v>
      </c>
      <c r="Z135" s="5">
        <v>2</v>
      </c>
      <c r="AA135" s="5">
        <v>6</v>
      </c>
    </row>
    <row r="136" spans="1:27" s="2" customFormat="1" x14ac:dyDescent="0.25">
      <c r="A136" s="5" t="s">
        <v>90</v>
      </c>
      <c r="B136" s="5" t="s">
        <v>16</v>
      </c>
      <c r="C136" s="5" t="s">
        <v>49</v>
      </c>
      <c r="D136" s="5">
        <f t="shared" si="4"/>
        <v>1</v>
      </c>
      <c r="E136" s="5">
        <v>10</v>
      </c>
      <c r="F136" s="6">
        <v>1</v>
      </c>
      <c r="G136" s="5">
        <v>10</v>
      </c>
      <c r="H136" s="5">
        <v>450</v>
      </c>
      <c r="I136" s="5">
        <v>450</v>
      </c>
      <c r="J136" s="5">
        <v>450</v>
      </c>
      <c r="K136" s="7">
        <f t="shared" si="5"/>
        <v>450</v>
      </c>
      <c r="L136" s="11">
        <f t="shared" si="6"/>
        <v>450</v>
      </c>
      <c r="M136" s="13">
        <f t="shared" si="7"/>
        <v>562.5</v>
      </c>
      <c r="N136" s="13">
        <f t="shared" si="8"/>
        <v>843.75</v>
      </c>
      <c r="O136" s="7">
        <f t="shared" si="9"/>
        <v>450</v>
      </c>
      <c r="P136" s="9">
        <f t="shared" si="10"/>
        <v>450</v>
      </c>
      <c r="Q136" s="9">
        <f t="shared" si="11"/>
        <v>4500</v>
      </c>
      <c r="R136" s="5"/>
      <c r="S136" s="12">
        <v>850</v>
      </c>
      <c r="T136" s="5">
        <f t="shared" si="12"/>
        <v>4</v>
      </c>
      <c r="U136" s="5">
        <f t="shared" si="16"/>
        <v>7</v>
      </c>
      <c r="V136" s="5">
        <f t="shared" si="13"/>
        <v>1</v>
      </c>
      <c r="W136" s="5">
        <f t="shared" si="14"/>
        <v>7</v>
      </c>
      <c r="X136" s="5">
        <v>1700</v>
      </c>
      <c r="Y136" s="7">
        <f t="shared" si="15"/>
        <v>1</v>
      </c>
      <c r="Z136" s="5">
        <v>5</v>
      </c>
      <c r="AA136" s="5">
        <v>1</v>
      </c>
    </row>
    <row r="137" spans="1:27" s="2" customFormat="1" x14ac:dyDescent="0.25">
      <c r="A137" s="5" t="s">
        <v>104</v>
      </c>
      <c r="B137" s="5" t="s">
        <v>84</v>
      </c>
      <c r="C137" s="5" t="s">
        <v>49</v>
      </c>
      <c r="D137" s="5">
        <f t="shared" si="4"/>
        <v>1</v>
      </c>
      <c r="E137" s="5">
        <v>30</v>
      </c>
      <c r="F137" s="6">
        <v>1</v>
      </c>
      <c r="G137" s="5">
        <v>13</v>
      </c>
      <c r="H137" s="5">
        <v>96</v>
      </c>
      <c r="I137" s="5">
        <v>176</v>
      </c>
      <c r="J137" s="5">
        <v>72</v>
      </c>
      <c r="K137" s="7">
        <f t="shared" si="5"/>
        <v>221.53846153846155</v>
      </c>
      <c r="L137" s="11">
        <f t="shared" si="6"/>
        <v>406.15384615384613</v>
      </c>
      <c r="M137" s="13">
        <f t="shared" si="7"/>
        <v>406.15384615384613</v>
      </c>
      <c r="N137" s="13">
        <f t="shared" si="8"/>
        <v>406.15384615384613</v>
      </c>
      <c r="O137" s="7">
        <f t="shared" si="9"/>
        <v>166.15384615384616</v>
      </c>
      <c r="P137" s="9">
        <f t="shared" si="10"/>
        <v>176</v>
      </c>
      <c r="Q137" s="9">
        <f t="shared" si="11"/>
        <v>2160</v>
      </c>
      <c r="R137" s="5"/>
      <c r="S137" s="12">
        <v>850</v>
      </c>
      <c r="T137" s="5">
        <f t="shared" si="12"/>
        <v>2</v>
      </c>
      <c r="U137" s="5">
        <f t="shared" si="16"/>
        <v>7</v>
      </c>
      <c r="V137" s="5">
        <f t="shared" si="13"/>
        <v>1</v>
      </c>
      <c r="W137" s="5">
        <f t="shared" si="14"/>
        <v>3</v>
      </c>
      <c r="X137" s="5">
        <v>750</v>
      </c>
      <c r="Y137" s="7">
        <f t="shared" si="15"/>
        <v>2.3076923076923075</v>
      </c>
      <c r="Z137" s="5">
        <v>2</v>
      </c>
      <c r="AA137" s="5">
        <v>6</v>
      </c>
    </row>
    <row r="138" spans="1:27" s="2" customFormat="1" x14ac:dyDescent="0.25">
      <c r="A138" s="5" t="s">
        <v>91</v>
      </c>
      <c r="B138" s="5" t="s">
        <v>16</v>
      </c>
      <c r="C138" s="5" t="s">
        <v>49</v>
      </c>
      <c r="D138" s="5">
        <f t="shared" si="4"/>
        <v>1</v>
      </c>
      <c r="E138" s="5">
        <v>10</v>
      </c>
      <c r="F138" s="6">
        <v>1</v>
      </c>
      <c r="G138" s="5">
        <v>10</v>
      </c>
      <c r="H138" s="5">
        <v>360</v>
      </c>
      <c r="I138" s="5">
        <v>360</v>
      </c>
      <c r="J138" s="5">
        <v>360</v>
      </c>
      <c r="K138" s="7">
        <f t="shared" si="5"/>
        <v>360</v>
      </c>
      <c r="L138" s="11">
        <f t="shared" si="6"/>
        <v>360</v>
      </c>
      <c r="M138" s="13">
        <f t="shared" si="7"/>
        <v>450</v>
      </c>
      <c r="N138" s="13">
        <f t="shared" si="8"/>
        <v>675</v>
      </c>
      <c r="O138" s="7">
        <f t="shared" si="9"/>
        <v>360</v>
      </c>
      <c r="P138" s="9">
        <f t="shared" si="10"/>
        <v>360</v>
      </c>
      <c r="Q138" s="9">
        <f t="shared" si="11"/>
        <v>3600</v>
      </c>
      <c r="R138" s="5"/>
      <c r="S138" s="12">
        <v>850</v>
      </c>
      <c r="T138" s="5">
        <f t="shared" si="12"/>
        <v>4</v>
      </c>
      <c r="U138" s="5">
        <f t="shared" si="16"/>
        <v>6</v>
      </c>
      <c r="V138" s="5">
        <f t="shared" si="13"/>
        <v>1</v>
      </c>
      <c r="W138" s="5">
        <f t="shared" si="14"/>
        <v>7</v>
      </c>
      <c r="X138" s="5">
        <v>1700</v>
      </c>
      <c r="Y138" s="7">
        <f t="shared" si="15"/>
        <v>1</v>
      </c>
      <c r="Z138" s="5">
        <v>5</v>
      </c>
      <c r="AA138" s="5">
        <v>1</v>
      </c>
    </row>
    <row r="139" spans="1:27" s="2" customFormat="1" x14ac:dyDescent="0.25">
      <c r="A139" s="5" t="s">
        <v>52</v>
      </c>
      <c r="B139" s="5" t="s">
        <v>84</v>
      </c>
      <c r="C139" s="5" t="s">
        <v>49</v>
      </c>
      <c r="D139" s="5">
        <f t="shared" si="4"/>
        <v>1</v>
      </c>
      <c r="E139" s="5">
        <v>30</v>
      </c>
      <c r="F139" s="6">
        <v>1</v>
      </c>
      <c r="G139" s="5">
        <v>13</v>
      </c>
      <c r="H139" s="5">
        <v>60</v>
      </c>
      <c r="I139" s="5">
        <v>120</v>
      </c>
      <c r="J139" s="5">
        <v>45</v>
      </c>
      <c r="K139" s="7">
        <f t="shared" si="5"/>
        <v>138.46153846153845</v>
      </c>
      <c r="L139" s="11">
        <f t="shared" si="6"/>
        <v>276.92307692307691</v>
      </c>
      <c r="M139" s="13">
        <f t="shared" si="7"/>
        <v>276.92307692307691</v>
      </c>
      <c r="N139" s="13">
        <f t="shared" si="8"/>
        <v>276.92307692307691</v>
      </c>
      <c r="O139" s="7">
        <f t="shared" si="9"/>
        <v>103.84615384615384</v>
      </c>
      <c r="P139" s="9">
        <f t="shared" si="10"/>
        <v>120</v>
      </c>
      <c r="Q139" s="9">
        <f t="shared" si="11"/>
        <v>1350</v>
      </c>
      <c r="R139" s="5">
        <v>500</v>
      </c>
      <c r="S139" s="12">
        <v>500</v>
      </c>
      <c r="T139" s="5">
        <f t="shared" si="12"/>
        <v>2</v>
      </c>
      <c r="U139" s="5">
        <f t="shared" si="16"/>
        <v>5</v>
      </c>
      <c r="V139" s="5">
        <f t="shared" si="13"/>
        <v>1</v>
      </c>
      <c r="W139" s="5">
        <f t="shared" si="14"/>
        <v>3</v>
      </c>
      <c r="X139" s="5">
        <v>580</v>
      </c>
      <c r="Y139" s="7">
        <f t="shared" si="15"/>
        <v>2.3076923076923075</v>
      </c>
      <c r="Z139" s="5">
        <v>2</v>
      </c>
      <c r="AA139" s="5">
        <v>6</v>
      </c>
    </row>
    <row r="140" spans="1:27" s="2" customFormat="1" x14ac:dyDescent="0.25">
      <c r="A140" s="5" t="s">
        <v>105</v>
      </c>
      <c r="B140" s="5" t="s">
        <v>84</v>
      </c>
      <c r="C140" s="5" t="s">
        <v>49</v>
      </c>
      <c r="D140" s="5">
        <f t="shared" si="4"/>
        <v>1</v>
      </c>
      <c r="E140" s="5">
        <v>30</v>
      </c>
      <c r="F140" s="6">
        <v>1</v>
      </c>
      <c r="G140" s="5">
        <v>13</v>
      </c>
      <c r="H140" s="5">
        <v>48</v>
      </c>
      <c r="I140" s="5">
        <v>96</v>
      </c>
      <c r="J140" s="5">
        <v>36</v>
      </c>
      <c r="K140" s="7">
        <f t="shared" si="5"/>
        <v>110.76923076923077</v>
      </c>
      <c r="L140" s="11">
        <f t="shared" si="6"/>
        <v>221.53846153846155</v>
      </c>
      <c r="M140" s="13">
        <f t="shared" si="7"/>
        <v>221.53846153846155</v>
      </c>
      <c r="N140" s="13">
        <f t="shared" si="8"/>
        <v>221.53846153846155</v>
      </c>
      <c r="O140" s="7">
        <f t="shared" si="9"/>
        <v>83.07692307692308</v>
      </c>
      <c r="P140" s="9">
        <f t="shared" si="10"/>
        <v>96</v>
      </c>
      <c r="Q140" s="9">
        <f t="shared" si="11"/>
        <v>1080</v>
      </c>
      <c r="R140" s="5"/>
      <c r="S140" s="12">
        <v>500</v>
      </c>
      <c r="T140" s="5">
        <f t="shared" si="12"/>
        <v>2</v>
      </c>
      <c r="U140" s="5">
        <f t="shared" si="16"/>
        <v>5</v>
      </c>
      <c r="V140" s="5">
        <f t="shared" si="13"/>
        <v>1</v>
      </c>
      <c r="W140" s="5">
        <f t="shared" si="14"/>
        <v>3</v>
      </c>
      <c r="X140" s="5">
        <v>580</v>
      </c>
      <c r="Y140" s="7">
        <f t="shared" si="15"/>
        <v>2.3076923076923075</v>
      </c>
      <c r="Z140" s="5">
        <v>2</v>
      </c>
      <c r="AA140" s="5">
        <v>6</v>
      </c>
    </row>
    <row r="141" spans="1:27" s="2" customFormat="1" x14ac:dyDescent="0.25">
      <c r="A141" s="5" t="s">
        <v>54</v>
      </c>
      <c r="B141" s="5" t="s">
        <v>53</v>
      </c>
      <c r="C141" s="5" t="s">
        <v>49</v>
      </c>
      <c r="D141" s="5">
        <f t="shared" si="4"/>
        <v>1</v>
      </c>
      <c r="E141" s="5">
        <v>20</v>
      </c>
      <c r="F141" s="6">
        <v>1</v>
      </c>
      <c r="G141" s="5">
        <v>10</v>
      </c>
      <c r="H141" s="5">
        <v>100</v>
      </c>
      <c r="I141" s="5">
        <v>100</v>
      </c>
      <c r="J141" s="5">
        <v>66</v>
      </c>
      <c r="K141" s="7">
        <f t="shared" si="5"/>
        <v>200</v>
      </c>
      <c r="L141" s="11">
        <f t="shared" si="6"/>
        <v>200</v>
      </c>
      <c r="M141" s="13">
        <f t="shared" si="7"/>
        <v>200</v>
      </c>
      <c r="N141" s="13">
        <f t="shared" si="8"/>
        <v>200</v>
      </c>
      <c r="O141" s="7">
        <f t="shared" si="9"/>
        <v>132</v>
      </c>
      <c r="P141" s="9">
        <f t="shared" si="10"/>
        <v>100</v>
      </c>
      <c r="Q141" s="9">
        <f t="shared" si="11"/>
        <v>1320</v>
      </c>
      <c r="R141" s="5"/>
      <c r="S141" s="12">
        <v>500</v>
      </c>
      <c r="T141" s="5">
        <f t="shared" si="12"/>
        <v>4</v>
      </c>
      <c r="U141" s="5">
        <f t="shared" si="16"/>
        <v>5</v>
      </c>
      <c r="V141" s="5">
        <f t="shared" si="13"/>
        <v>1</v>
      </c>
      <c r="W141" s="5">
        <f t="shared" si="14"/>
        <v>2</v>
      </c>
      <c r="X141" s="5">
        <v>500</v>
      </c>
      <c r="Y141" s="7">
        <f t="shared" si="15"/>
        <v>2</v>
      </c>
      <c r="Z141" s="5">
        <v>2</v>
      </c>
      <c r="AA141" s="5">
        <v>6</v>
      </c>
    </row>
    <row r="142" spans="1:27" s="2" customFormat="1" x14ac:dyDescent="0.25">
      <c r="A142" s="27" t="s">
        <v>323</v>
      </c>
      <c r="B142" s="27"/>
      <c r="C142" s="27"/>
      <c r="D142" s="27">
        <f>IF(LEFT($A142,4) = "Dual",2,IF(LEFT($A142,6) = "Triple",3,1))</f>
        <v>1</v>
      </c>
      <c r="E142" s="27"/>
      <c r="F142" s="28"/>
      <c r="G142" s="27"/>
      <c r="H142" s="27"/>
      <c r="I142" s="27"/>
      <c r="J142" s="27"/>
      <c r="K142" s="29">
        <f>IF($G142&lt;&gt;0,$D142*$E142*$F142*H142/$G142,)</f>
        <v>0</v>
      </c>
      <c r="L142" s="30">
        <f>IF($G142&lt;&gt;0,$D142*$E142*$F142*I142/$G142,)</f>
        <v>0</v>
      </c>
      <c r="M142" s="31">
        <f>IF($B142 = "Ballistic", 1.25*$L142,$L142)</f>
        <v>0</v>
      </c>
      <c r="N142" s="31">
        <f>IF($B142 = "Ballistic", $M142*1.5,$M142)</f>
        <v>0</v>
      </c>
      <c r="O142" s="29">
        <f>IF($G142&lt;&gt;0,$D142*$E142*$F142*J142/$G142,)</f>
        <v>0</v>
      </c>
      <c r="P142" s="106">
        <f>$D142*$I142*$F142</f>
        <v>0</v>
      </c>
      <c r="Q142" s="106">
        <f>$D142*$E142*$F142*$J142</f>
        <v>0</v>
      </c>
      <c r="R142" s="27"/>
      <c r="S142" s="33"/>
      <c r="T142" s="27">
        <f>VLOOKUP(G142,Standard_F_Rates,2)</f>
        <v>10</v>
      </c>
      <c r="U142" s="28">
        <f>VLOOKUP(L142,Projector_Weapon_Damage_Table,2)</f>
        <v>0</v>
      </c>
      <c r="V142" s="28">
        <f>VLOOKUP(Z142+AA142,Standard_Accuracy_Table,2)</f>
        <v>10</v>
      </c>
      <c r="W142" s="28">
        <f>VLOOKUP(X142,Standard_Range_Table,2)</f>
        <v>0</v>
      </c>
      <c r="X142" s="27"/>
      <c r="Y142" s="29" t="e">
        <f>$D142*$E142/$G142</f>
        <v>#DIV/0!</v>
      </c>
      <c r="Z142" s="27"/>
      <c r="AA142" s="27"/>
    </row>
    <row r="143" spans="1:27" s="2" customFormat="1" x14ac:dyDescent="0.25">
      <c r="A143" s="27" t="s">
        <v>322</v>
      </c>
      <c r="B143" s="27"/>
      <c r="C143" s="27"/>
      <c r="D143" s="27">
        <f>IF(LEFT($A143,4) = "Dual",2,IF(LEFT($A143,6) = "Triple",3,1))</f>
        <v>1</v>
      </c>
      <c r="E143" s="27"/>
      <c r="F143" s="28"/>
      <c r="G143" s="27"/>
      <c r="H143" s="27"/>
      <c r="I143" s="27"/>
      <c r="J143" s="27"/>
      <c r="K143" s="29">
        <f>IF($G143&lt;&gt;0,$D143*$E143*$F143*H143/$G143,)</f>
        <v>0</v>
      </c>
      <c r="L143" s="30">
        <f>IF($G143&lt;&gt;0,$D143*$E143*$F143*I143/$G143,)</f>
        <v>0</v>
      </c>
      <c r="M143" s="31">
        <f>IF($B143 = "Ballistic", 1.25*$L143,$L143)</f>
        <v>0</v>
      </c>
      <c r="N143" s="31">
        <f>IF($B143 = "Ballistic", $M143*1.5,$M143)</f>
        <v>0</v>
      </c>
      <c r="O143" s="29">
        <f>IF($G143&lt;&gt;0,$D143*$E143*$F143*J143/$G143,)</f>
        <v>0</v>
      </c>
      <c r="P143" s="106">
        <f>$D143*$I143*$F143</f>
        <v>0</v>
      </c>
      <c r="Q143" s="106">
        <f>$D143*$E143*$F143*$J143</f>
        <v>0</v>
      </c>
      <c r="R143" s="27"/>
      <c r="S143" s="33"/>
      <c r="T143" s="27">
        <f>VLOOKUP(G143,Standard_F_Rates,2)</f>
        <v>10</v>
      </c>
      <c r="U143" s="28">
        <f>VLOOKUP(L143,Projector_Weapon_Damage_Table,2)</f>
        <v>0</v>
      </c>
      <c r="V143" s="28">
        <f>VLOOKUP(Z143+AA143,Standard_Accuracy_Table,2)</f>
        <v>10</v>
      </c>
      <c r="W143" s="28">
        <f>VLOOKUP(X143,Standard_Range_Table,2)</f>
        <v>0</v>
      </c>
      <c r="X143" s="27"/>
      <c r="Y143" s="29" t="e">
        <f>$D143*$E143/$G143</f>
        <v>#DIV/0!</v>
      </c>
      <c r="Z143" s="27"/>
      <c r="AA143" s="27"/>
    </row>
    <row r="144" spans="1:27" s="2" customFormat="1" x14ac:dyDescent="0.25">
      <c r="A144" s="27" t="s">
        <v>321</v>
      </c>
      <c r="B144" s="27"/>
      <c r="C144" s="27"/>
      <c r="D144" s="27">
        <f>IF(LEFT($A144,4) = "Dual",2,IF(LEFT($A144,6) = "Triple",3,1))</f>
        <v>1</v>
      </c>
      <c r="E144" s="27"/>
      <c r="F144" s="28"/>
      <c r="G144" s="27"/>
      <c r="H144" s="27"/>
      <c r="I144" s="27"/>
      <c r="J144" s="27"/>
      <c r="K144" s="29">
        <f>IF($G144&lt;&gt;0,$D144*$E144*$F144*H144/$G144,)</f>
        <v>0</v>
      </c>
      <c r="L144" s="30">
        <f>IF($G144&lt;&gt;0,$D144*$E144*$F144*I144/$G144,)</f>
        <v>0</v>
      </c>
      <c r="M144" s="31">
        <f>IF($B144 = "Ballistic", 1.25*$L144,$L144)</f>
        <v>0</v>
      </c>
      <c r="N144" s="31">
        <f>IF($B144 = "Ballistic", $M144*1.5,$M144)</f>
        <v>0</v>
      </c>
      <c r="O144" s="29">
        <f>IF($G144&lt;&gt;0,$D144*$E144*$F144*J144/$G144,)</f>
        <v>0</v>
      </c>
      <c r="P144" s="106">
        <f>$D144*$I144*$F144</f>
        <v>0</v>
      </c>
      <c r="Q144" s="106">
        <f>$D144*$E144*$F144*$J144</f>
        <v>0</v>
      </c>
      <c r="R144" s="27"/>
      <c r="S144" s="33"/>
      <c r="T144" s="27">
        <f>VLOOKUP(G144,Standard_F_Rates,2)</f>
        <v>10</v>
      </c>
      <c r="U144" s="28">
        <f>VLOOKUP(L144,Projector_Weapon_Damage_Table,2)</f>
        <v>0</v>
      </c>
      <c r="V144" s="28">
        <f>VLOOKUP(Z144+AA144,Standard_Accuracy_Table,2)</f>
        <v>10</v>
      </c>
      <c r="W144" s="28">
        <f>VLOOKUP(X144,Standard_Range_Table,2)</f>
        <v>0</v>
      </c>
      <c r="X144" s="27"/>
      <c r="Y144" s="29" t="e">
        <f>$D144*$E144/$G144</f>
        <v>#DIV/0!</v>
      </c>
      <c r="Z144" s="27"/>
      <c r="AA144" s="27"/>
    </row>
    <row r="145" spans="1:27" s="2" customFormat="1" x14ac:dyDescent="0.25">
      <c r="A145" s="27"/>
      <c r="B145" s="27"/>
      <c r="C145" s="27"/>
      <c r="D145" s="27">
        <f>IF(LEFT($A145,4) = "Dual",2,IF(LEFT($A145,6) = "Triple",3,1))</f>
        <v>1</v>
      </c>
      <c r="E145" s="27"/>
      <c r="F145" s="28"/>
      <c r="G145" s="27"/>
      <c r="H145" s="27"/>
      <c r="I145" s="27"/>
      <c r="J145" s="27"/>
      <c r="K145" s="29">
        <f>IF($G145&lt;&gt;0,$D145*$E145*$F145*H145/$G145,)</f>
        <v>0</v>
      </c>
      <c r="L145" s="30">
        <f>IF($G145&lt;&gt;0,$D145*$E145*$F145*I145/$G145,)</f>
        <v>0</v>
      </c>
      <c r="M145" s="31">
        <f>IF($B145 = "Ballistic", 1.25*$L145,$L145)</f>
        <v>0</v>
      </c>
      <c r="N145" s="31">
        <f>IF($B145 = "Ballistic", $M145*1.5,$M145)</f>
        <v>0</v>
      </c>
      <c r="O145" s="29">
        <f>IF($G145&lt;&gt;0,$D145*$E145*$F145*J145/$G145,)</f>
        <v>0</v>
      </c>
      <c r="P145" s="106">
        <f>$D145*$I145*$F145</f>
        <v>0</v>
      </c>
      <c r="Q145" s="106">
        <f>$D145*$E145*$F145*$J145</f>
        <v>0</v>
      </c>
      <c r="R145" s="27"/>
      <c r="S145" s="33"/>
      <c r="T145" s="27">
        <f>VLOOKUP(G145,Standard_F_Rates,2)</f>
        <v>10</v>
      </c>
      <c r="U145" s="28">
        <f>VLOOKUP(L145,Projector_Weapon_Damage_Table,2)</f>
        <v>0</v>
      </c>
      <c r="V145" s="28">
        <f>VLOOKUP(Z145+AA145,Standard_Accuracy_Table,2)</f>
        <v>10</v>
      </c>
      <c r="W145" s="28">
        <f>VLOOKUP(X145,Standard_Range_Table,2)</f>
        <v>0</v>
      </c>
      <c r="X145" s="27"/>
      <c r="Y145" s="29" t="e">
        <f>$D145*$E145/$G145</f>
        <v>#DIV/0!</v>
      </c>
      <c r="Z145" s="27"/>
      <c r="AA145" s="27"/>
    </row>
    <row r="146" spans="1:27" x14ac:dyDescent="0.25">
      <c r="Q146" s="10"/>
    </row>
    <row r="147" spans="1:27" ht="23.25" x14ac:dyDescent="0.35">
      <c r="A147" s="46" t="s">
        <v>188</v>
      </c>
      <c r="C147" s="20"/>
      <c r="D147" s="20"/>
      <c r="E147" s="20"/>
      <c r="F147" s="20"/>
      <c r="H147" s="20"/>
      <c r="I147" s="20"/>
      <c r="J147" s="20"/>
      <c r="K147" s="20"/>
      <c r="L147" s="20"/>
      <c r="M147" s="20"/>
      <c r="O147" s="20"/>
      <c r="P147" s="20"/>
      <c r="Q147" s="24"/>
      <c r="S147" s="25"/>
    </row>
    <row r="148" spans="1:27" s="56" customFormat="1" ht="19.5" x14ac:dyDescent="0.3">
      <c r="A148" s="51" t="s">
        <v>0</v>
      </c>
      <c r="B148" s="51" t="s">
        <v>15</v>
      </c>
      <c r="C148" s="51" t="s">
        <v>64</v>
      </c>
      <c r="D148" s="51" t="s">
        <v>143</v>
      </c>
      <c r="E148" s="51" t="s">
        <v>173</v>
      </c>
      <c r="F148" s="52" t="s">
        <v>244</v>
      </c>
      <c r="G148" s="51" t="s">
        <v>185</v>
      </c>
      <c r="H148" s="51" t="s">
        <v>184</v>
      </c>
      <c r="I148" s="51" t="s">
        <v>180</v>
      </c>
      <c r="J148" s="51" t="s">
        <v>181</v>
      </c>
      <c r="K148" s="51" t="s">
        <v>182</v>
      </c>
      <c r="L148" s="51" t="s">
        <v>186</v>
      </c>
      <c r="M148" s="53" t="s">
        <v>88</v>
      </c>
      <c r="N148" s="53" t="s">
        <v>164</v>
      </c>
      <c r="O148" s="51" t="s">
        <v>183</v>
      </c>
      <c r="P148" s="51" t="s">
        <v>172</v>
      </c>
      <c r="Q148" s="51" t="s">
        <v>199</v>
      </c>
      <c r="R148" s="51" t="s">
        <v>166</v>
      </c>
      <c r="S148" s="51" t="s">
        <v>165</v>
      </c>
      <c r="T148" s="51" t="s">
        <v>59</v>
      </c>
      <c r="U148" s="51" t="s">
        <v>60</v>
      </c>
      <c r="V148" s="51" t="s">
        <v>61</v>
      </c>
      <c r="W148" s="51" t="s">
        <v>187</v>
      </c>
      <c r="X148" s="51" t="s">
        <v>174</v>
      </c>
      <c r="Y148" s="51" t="s">
        <v>175</v>
      </c>
      <c r="Z148" s="55" t="s">
        <v>197</v>
      </c>
      <c r="AA148" s="55" t="s">
        <v>196</v>
      </c>
    </row>
    <row r="149" spans="1:27" s="2" customFormat="1" x14ac:dyDescent="0.25">
      <c r="A149" s="5" t="s">
        <v>133</v>
      </c>
      <c r="B149" s="5" t="s">
        <v>128</v>
      </c>
      <c r="C149" s="5" t="s">
        <v>118</v>
      </c>
      <c r="D149" s="5">
        <f>IF(LEFT($A149,4) = "Dual",2,IF(LEFT($A149,6) = "Triple",3,1))</f>
        <v>1</v>
      </c>
      <c r="E149" s="5">
        <v>1</v>
      </c>
      <c r="F149" s="6">
        <v>1</v>
      </c>
      <c r="G149" s="5">
        <v>30</v>
      </c>
      <c r="H149" s="5">
        <v>250</v>
      </c>
      <c r="I149" s="5">
        <v>1350</v>
      </c>
      <c r="J149" s="5">
        <v>1950</v>
      </c>
      <c r="K149" s="7">
        <f>IF($G149&lt;&gt;0,$D149*$E149*$F149*H149/$G149,)</f>
        <v>8.3333333333333339</v>
      </c>
      <c r="L149" s="11">
        <f>IF($G149&lt;&gt;0,$D149*$E149*$F149*I149/$G149,)</f>
        <v>45</v>
      </c>
      <c r="M149" s="13">
        <f>IF($B149 = "Ballistic", 1.25*$L149,$L149)</f>
        <v>45</v>
      </c>
      <c r="N149" s="13">
        <f>IF($B149 = "Ballistic", $M149*1.5,$M149)</f>
        <v>45</v>
      </c>
      <c r="O149" s="7">
        <f>IF($G149&lt;&gt;0,$D149*$E149*$F149*J149/$G149,)</f>
        <v>65</v>
      </c>
      <c r="P149" s="9">
        <f>$D149*$I149*$F149</f>
        <v>1350</v>
      </c>
      <c r="Q149" s="9">
        <f>$D149*$E149*$F149*$J149</f>
        <v>1950</v>
      </c>
      <c r="R149" s="5">
        <v>800</v>
      </c>
      <c r="S149" s="12">
        <v>600</v>
      </c>
      <c r="T149" s="5">
        <f>VLOOKUP(G149,Standard_F_Rates,2)</f>
        <v>1</v>
      </c>
      <c r="U149" s="5">
        <f>VLOOKUP(L149,Torpedo_Weapon_Damage_Table,2)</f>
        <v>10</v>
      </c>
      <c r="V149" s="5">
        <f>VLOOKUP(Z149+AA149,Standard_Accuracy_Table,2)</f>
        <v>10</v>
      </c>
      <c r="W149" s="5">
        <f>VLOOKUP(X149,Standard_Range_Table,2)</f>
        <v>10</v>
      </c>
      <c r="X149" s="5">
        <v>4000</v>
      </c>
      <c r="Y149" s="7">
        <f>$D149*$E149/$G149</f>
        <v>3.3333333333333333E-2</v>
      </c>
      <c r="Z149" s="5">
        <v>0</v>
      </c>
      <c r="AA149" s="5"/>
    </row>
    <row r="150" spans="1:27" s="2" customFormat="1" x14ac:dyDescent="0.25">
      <c r="A150" s="5" t="s">
        <v>131</v>
      </c>
      <c r="B150" s="5" t="s">
        <v>128</v>
      </c>
      <c r="C150" s="5" t="s">
        <v>118</v>
      </c>
      <c r="D150" s="5">
        <f>IF(LEFT($A150,4) = "Dual",2,IF(LEFT($A150,6) = "Triple",3,1))</f>
        <v>1</v>
      </c>
      <c r="E150" s="5">
        <v>1</v>
      </c>
      <c r="F150" s="6">
        <v>1</v>
      </c>
      <c r="G150" s="5">
        <v>30</v>
      </c>
      <c r="H150" s="5">
        <v>250</v>
      </c>
      <c r="I150" s="5">
        <v>1350</v>
      </c>
      <c r="J150" s="5">
        <v>1950</v>
      </c>
      <c r="K150" s="7">
        <f>IF($G150&lt;&gt;0,$D150*$E150*$F150*H150/$G150,)</f>
        <v>8.3333333333333339</v>
      </c>
      <c r="L150" s="11">
        <f>IF($G150&lt;&gt;0,$D150*$E150*$F150*I150/$G150,)</f>
        <v>45</v>
      </c>
      <c r="M150" s="13">
        <f>IF($B150 = "Ballistic", 1.25*$L150,$L150)</f>
        <v>45</v>
      </c>
      <c r="N150" s="13">
        <f>IF($B150 = "Ballistic", $M150*1.5,$M150)</f>
        <v>45</v>
      </c>
      <c r="O150" s="7">
        <f>IF($G150&lt;&gt;0,$D150*$E150*$F150*J150/$G150,)</f>
        <v>65</v>
      </c>
      <c r="P150" s="9">
        <f>$D150*$I150*$F150</f>
        <v>1350</v>
      </c>
      <c r="Q150" s="9">
        <f>$D150*$E150*$F150*$J150</f>
        <v>1950</v>
      </c>
      <c r="R150" s="5">
        <v>700</v>
      </c>
      <c r="S150" s="12">
        <v>500</v>
      </c>
      <c r="T150" s="5">
        <f>VLOOKUP(G150,Standard_F_Rates,2)</f>
        <v>1</v>
      </c>
      <c r="U150" s="5">
        <f>VLOOKUP(L150,Torpedo_Weapon_Damage_Table,2)</f>
        <v>10</v>
      </c>
      <c r="V150" s="5">
        <f>VLOOKUP(Z150+AA150,Standard_Accuracy_Table,2)</f>
        <v>10</v>
      </c>
      <c r="W150" s="5">
        <f>VLOOKUP(X150,Standard_Range_Table,2)</f>
        <v>10</v>
      </c>
      <c r="X150" s="5">
        <v>4000</v>
      </c>
      <c r="Y150" s="7">
        <f>$D150*$E150/$G150</f>
        <v>3.3333333333333333E-2</v>
      </c>
      <c r="Z150" s="5">
        <v>0</v>
      </c>
      <c r="AA150" s="5"/>
    </row>
    <row r="151" spans="1:27" s="2" customFormat="1" x14ac:dyDescent="0.25">
      <c r="A151" s="5" t="s">
        <v>127</v>
      </c>
      <c r="B151" s="5" t="s">
        <v>122</v>
      </c>
      <c r="C151" s="5" t="s">
        <v>118</v>
      </c>
      <c r="D151" s="5">
        <f>IF(LEFT($A151,4) = "Dual",2,IF(LEFT($A151,6) = "Triple",3,1))</f>
        <v>1</v>
      </c>
      <c r="E151" s="5">
        <v>4</v>
      </c>
      <c r="F151" s="6">
        <v>1</v>
      </c>
      <c r="G151" s="5">
        <v>18</v>
      </c>
      <c r="H151" s="5">
        <v>200</v>
      </c>
      <c r="I151" s="5">
        <v>200</v>
      </c>
      <c r="J151" s="5">
        <v>200</v>
      </c>
      <c r="K151" s="7">
        <f>IF($G151&lt;&gt;0,$D151*$E151*$F151*H151/$G151,)</f>
        <v>44.444444444444443</v>
      </c>
      <c r="L151" s="11">
        <f>IF($G151&lt;&gt;0,$D151*$E151*$F151*I151/$G151,)</f>
        <v>44.444444444444443</v>
      </c>
      <c r="M151" s="13">
        <f>IF($B151 = "Ballistic", 1.25*$L151,$L151)</f>
        <v>44.444444444444443</v>
      </c>
      <c r="N151" s="13">
        <f>IF($B151 = "Ballistic", $M151*1.5,$M151)</f>
        <v>44.444444444444443</v>
      </c>
      <c r="O151" s="7">
        <f>IF($G151&lt;&gt;0,$D151*$E151*$F151*J151/$G151,)</f>
        <v>44.444444444444443</v>
      </c>
      <c r="P151" s="9">
        <f>$D151*$I151*$F151</f>
        <v>200</v>
      </c>
      <c r="Q151" s="9">
        <f>$D151*$E151*$F151*$J151</f>
        <v>800</v>
      </c>
      <c r="R151" s="5"/>
      <c r="S151" s="12">
        <v>400</v>
      </c>
      <c r="T151" s="5">
        <f>VLOOKUP(G151,Standard_F_Rates,2)</f>
        <v>2</v>
      </c>
      <c r="U151" s="5">
        <f>VLOOKUP(L151,Torpedo_Weapon_Damage_Table,2)</f>
        <v>9</v>
      </c>
      <c r="V151" s="5">
        <f>VLOOKUP(Z151+AA151,Standard_Accuracy_Table,2)</f>
        <v>7</v>
      </c>
      <c r="W151" s="5">
        <f>VLOOKUP(X151,Standard_Range_Table,2)</f>
        <v>9</v>
      </c>
      <c r="X151" s="5">
        <v>2500</v>
      </c>
      <c r="Y151" s="7">
        <f>$D151*$E151/$G151</f>
        <v>0.22222222222222221</v>
      </c>
      <c r="Z151" s="5">
        <v>1</v>
      </c>
      <c r="AA151" s="5"/>
    </row>
    <row r="152" spans="1:27" s="2" customFormat="1" x14ac:dyDescent="0.25">
      <c r="A152" s="5" t="s">
        <v>124</v>
      </c>
      <c r="B152" s="5" t="s">
        <v>122</v>
      </c>
      <c r="C152" s="5" t="s">
        <v>118</v>
      </c>
      <c r="D152" s="5">
        <f>IF(LEFT($A152,4) = "Dual",2,IF(LEFT($A152,6) = "Triple",3,1))</f>
        <v>1</v>
      </c>
      <c r="E152" s="5">
        <v>5</v>
      </c>
      <c r="F152" s="6">
        <v>1</v>
      </c>
      <c r="G152" s="5">
        <v>18</v>
      </c>
      <c r="H152" s="5">
        <v>180</v>
      </c>
      <c r="I152" s="5">
        <v>150</v>
      </c>
      <c r="J152" s="5">
        <v>100</v>
      </c>
      <c r="K152" s="7">
        <f>IF($G152&lt;&gt;0,$D152*$E152*$F152*H152/$G152,)</f>
        <v>50</v>
      </c>
      <c r="L152" s="11">
        <f>IF($G152&lt;&gt;0,$D152*$E152*$F152*I152/$G152,)</f>
        <v>41.666666666666664</v>
      </c>
      <c r="M152" s="13">
        <f>IF($B152 = "Ballistic", 1.25*$L152,$L152)</f>
        <v>41.666666666666664</v>
      </c>
      <c r="N152" s="13">
        <f>IF($B152 = "Ballistic", $M152*1.5,$M152)</f>
        <v>41.666666666666664</v>
      </c>
      <c r="O152" s="7">
        <f>IF($G152&lt;&gt;0,$D152*$E152*$F152*J152/$G152,)</f>
        <v>27.777777777777779</v>
      </c>
      <c r="P152" s="9">
        <f>$D152*$I152*$F152</f>
        <v>150</v>
      </c>
      <c r="Q152" s="9">
        <f>$D152*$E152*$F152*$J152</f>
        <v>500</v>
      </c>
      <c r="R152" s="5">
        <v>250</v>
      </c>
      <c r="S152" s="12">
        <v>425</v>
      </c>
      <c r="T152" s="5">
        <f>VLOOKUP(G152,Standard_F_Rates,2)</f>
        <v>2</v>
      </c>
      <c r="U152" s="5">
        <f>VLOOKUP(L152,Torpedo_Weapon_Damage_Table,2)</f>
        <v>9</v>
      </c>
      <c r="V152" s="5">
        <f>VLOOKUP(Z152+AA152,Standard_Accuracy_Table,2)</f>
        <v>7</v>
      </c>
      <c r="W152" s="5">
        <f>VLOOKUP(X152,Standard_Range_Table,2)</f>
        <v>10</v>
      </c>
      <c r="X152" s="5">
        <v>3500</v>
      </c>
      <c r="Y152" s="7">
        <f>$D152*$E152/$G152</f>
        <v>0.27777777777777779</v>
      </c>
      <c r="Z152" s="5">
        <v>1</v>
      </c>
      <c r="AA152" s="5"/>
    </row>
    <row r="153" spans="1:27" s="2" customFormat="1" x14ac:dyDescent="0.25">
      <c r="A153" s="5" t="s">
        <v>121</v>
      </c>
      <c r="B153" s="5" t="s">
        <v>122</v>
      </c>
      <c r="C153" s="5" t="s">
        <v>118</v>
      </c>
      <c r="D153" s="5">
        <f>IF(LEFT($A153,4) = "Dual",2,IF(LEFT($A153,6) = "Triple",3,1))</f>
        <v>1</v>
      </c>
      <c r="E153" s="5">
        <v>5</v>
      </c>
      <c r="F153" s="6">
        <v>1</v>
      </c>
      <c r="G153" s="5">
        <v>18</v>
      </c>
      <c r="H153" s="5">
        <v>140</v>
      </c>
      <c r="I153" s="5">
        <v>120</v>
      </c>
      <c r="J153" s="5">
        <v>60</v>
      </c>
      <c r="K153" s="7">
        <f>IF($G153&lt;&gt;0,$D153*$E153*$F153*H153/$G153,)</f>
        <v>38.888888888888886</v>
      </c>
      <c r="L153" s="11">
        <f>IF($G153&lt;&gt;0,$D153*$E153*$F153*I153/$G153,)</f>
        <v>33.333333333333336</v>
      </c>
      <c r="M153" s="13">
        <f>IF($B153 = "Ballistic", 1.25*$L153,$L153)</f>
        <v>33.333333333333336</v>
      </c>
      <c r="N153" s="13">
        <f>IF($B153 = "Ballistic", $M153*1.5,$M153)</f>
        <v>33.333333333333336</v>
      </c>
      <c r="O153" s="7">
        <f>IF($G153&lt;&gt;0,$D153*$E153*$F153*J153/$G153,)</f>
        <v>16.666666666666668</v>
      </c>
      <c r="P153" s="9">
        <f>$D153*$I153*$F153</f>
        <v>120</v>
      </c>
      <c r="Q153" s="9">
        <f>$D153*$E153*$F153*$J153</f>
        <v>300</v>
      </c>
      <c r="R153" s="5">
        <v>180</v>
      </c>
      <c r="S153" s="12">
        <v>350</v>
      </c>
      <c r="T153" s="5">
        <f>VLOOKUP(G153,Standard_F_Rates,2)</f>
        <v>2</v>
      </c>
      <c r="U153" s="5">
        <f>VLOOKUP(L153,Torpedo_Weapon_Damage_Table,2)</f>
        <v>7</v>
      </c>
      <c r="V153" s="5">
        <f>VLOOKUP(Z153+AA153,Standard_Accuracy_Table,2)</f>
        <v>7</v>
      </c>
      <c r="W153" s="5">
        <f>VLOOKUP(X153,Standard_Range_Table,2)</f>
        <v>10</v>
      </c>
      <c r="X153" s="5">
        <v>3200</v>
      </c>
      <c r="Y153" s="7">
        <f>$D153*$E153/$G153</f>
        <v>0.27777777777777779</v>
      </c>
      <c r="Z153" s="5">
        <v>1</v>
      </c>
      <c r="AA153" s="5"/>
    </row>
    <row r="154" spans="1:27" s="2" customFormat="1" x14ac:dyDescent="0.25">
      <c r="A154" s="5" t="s">
        <v>132</v>
      </c>
      <c r="B154" s="5" t="s">
        <v>128</v>
      </c>
      <c r="C154" s="5" t="s">
        <v>118</v>
      </c>
      <c r="D154" s="5">
        <f>IF(LEFT($A154,4) = "Dual",2,IF(LEFT($A154,6) = "Triple",3,1))</f>
        <v>1</v>
      </c>
      <c r="E154" s="5">
        <v>1</v>
      </c>
      <c r="F154" s="6">
        <v>1</v>
      </c>
      <c r="G154" s="5">
        <v>30</v>
      </c>
      <c r="H154" s="5">
        <v>200</v>
      </c>
      <c r="I154" s="5">
        <v>900</v>
      </c>
      <c r="J154" s="5">
        <v>1275</v>
      </c>
      <c r="K154" s="7">
        <f>IF($G154&lt;&gt;0,$D154*$E154*$F154*H154/$G154,)</f>
        <v>6.666666666666667</v>
      </c>
      <c r="L154" s="11">
        <f>IF($G154&lt;&gt;0,$D154*$E154*$F154*I154/$G154,)</f>
        <v>30</v>
      </c>
      <c r="M154" s="13">
        <f>IF($B154 = "Ballistic", 1.25*$L154,$L154)</f>
        <v>30</v>
      </c>
      <c r="N154" s="13">
        <f>IF($B154 = "Ballistic", $M154*1.5,$M154)</f>
        <v>30</v>
      </c>
      <c r="O154" s="7">
        <f>IF($G154&lt;&gt;0,$D154*$E154*$F154*J154/$G154,)</f>
        <v>42.5</v>
      </c>
      <c r="P154" s="9">
        <f>$D154*$I154*$F154</f>
        <v>900</v>
      </c>
      <c r="Q154" s="9">
        <f>$D154*$E154*$F154*$J154</f>
        <v>1275</v>
      </c>
      <c r="R154" s="5">
        <v>350</v>
      </c>
      <c r="S154" s="12">
        <v>400</v>
      </c>
      <c r="T154" s="5">
        <f>VLOOKUP(G154,Standard_F_Rates,2)</f>
        <v>1</v>
      </c>
      <c r="U154" s="5">
        <f>VLOOKUP(L154,Torpedo_Weapon_Damage_Table,2)</f>
        <v>7</v>
      </c>
      <c r="V154" s="5">
        <f>VLOOKUP(Z154+AA154,Standard_Accuracy_Table,2)</f>
        <v>10</v>
      </c>
      <c r="W154" s="5">
        <f>VLOOKUP(X154,Standard_Range_Table,2)</f>
        <v>10</v>
      </c>
      <c r="X154" s="5">
        <v>3500</v>
      </c>
      <c r="Y154" s="7">
        <f>$D154*$E154/$G154</f>
        <v>3.3333333333333333E-2</v>
      </c>
      <c r="Z154" s="5">
        <v>0</v>
      </c>
      <c r="AA154" s="5"/>
    </row>
    <row r="155" spans="1:27" s="2" customFormat="1" x14ac:dyDescent="0.25">
      <c r="A155" s="5" t="s">
        <v>130</v>
      </c>
      <c r="B155" s="5" t="s">
        <v>128</v>
      </c>
      <c r="C155" s="5" t="s">
        <v>118</v>
      </c>
      <c r="D155" s="5">
        <f>IF(LEFT($A155,4) = "Dual",2,IF(LEFT($A155,6) = "Triple",3,1))</f>
        <v>1</v>
      </c>
      <c r="E155" s="5">
        <v>1</v>
      </c>
      <c r="F155" s="6">
        <v>1</v>
      </c>
      <c r="G155" s="5">
        <v>30</v>
      </c>
      <c r="H155" s="5">
        <v>200</v>
      </c>
      <c r="I155" s="5">
        <v>900</v>
      </c>
      <c r="J155" s="5">
        <v>1275</v>
      </c>
      <c r="K155" s="7">
        <f>IF($G155&lt;&gt;0,$D155*$E155*$F155*H155/$G155,)</f>
        <v>6.666666666666667</v>
      </c>
      <c r="L155" s="11">
        <f>IF($G155&lt;&gt;0,$D155*$E155*$F155*I155/$G155,)</f>
        <v>30</v>
      </c>
      <c r="M155" s="13">
        <f>IF($B155 = "Ballistic", 1.25*$L155,$L155)</f>
        <v>30</v>
      </c>
      <c r="N155" s="13">
        <f>IF($B155 = "Ballistic", $M155*1.5,$M155)</f>
        <v>30</v>
      </c>
      <c r="O155" s="7">
        <f>IF($G155&lt;&gt;0,$D155*$E155*$F155*J155/$G155,)</f>
        <v>42.5</v>
      </c>
      <c r="P155" s="9">
        <f>$D155*$I155*$F155</f>
        <v>900</v>
      </c>
      <c r="Q155" s="9">
        <f>$D155*$E155*$F155*$J155</f>
        <v>1275</v>
      </c>
      <c r="R155" s="5">
        <v>300</v>
      </c>
      <c r="S155" s="12">
        <v>300</v>
      </c>
      <c r="T155" s="5">
        <f>VLOOKUP(G155,Standard_F_Rates,2)</f>
        <v>1</v>
      </c>
      <c r="U155" s="5">
        <f>VLOOKUP(L155,Torpedo_Weapon_Damage_Table,2)</f>
        <v>7</v>
      </c>
      <c r="V155" s="5">
        <f>VLOOKUP(Z155+AA155,Standard_Accuracy_Table,2)</f>
        <v>10</v>
      </c>
      <c r="W155" s="5">
        <f>VLOOKUP(X155,Standard_Range_Table,2)</f>
        <v>10</v>
      </c>
      <c r="X155" s="5">
        <v>3500</v>
      </c>
      <c r="Y155" s="7">
        <f>$D155*$E155/$G155</f>
        <v>3.3333333333333333E-2</v>
      </c>
      <c r="Z155" s="5">
        <v>0</v>
      </c>
      <c r="AA155" s="5"/>
    </row>
    <row r="156" spans="1:27" s="2" customFormat="1" x14ac:dyDescent="0.25">
      <c r="A156" s="5" t="s">
        <v>123</v>
      </c>
      <c r="B156" s="5" t="s">
        <v>122</v>
      </c>
      <c r="C156" s="5" t="s">
        <v>118</v>
      </c>
      <c r="D156" s="5">
        <f>IF(LEFT($A156,4) = "Dual",2,IF(LEFT($A156,6) = "Triple",3,1))</f>
        <v>1</v>
      </c>
      <c r="E156" s="5">
        <v>1</v>
      </c>
      <c r="F156" s="6">
        <v>1</v>
      </c>
      <c r="G156" s="5">
        <v>4</v>
      </c>
      <c r="H156" s="5">
        <v>150</v>
      </c>
      <c r="I156" s="5">
        <v>100</v>
      </c>
      <c r="J156" s="5">
        <v>50</v>
      </c>
      <c r="K156" s="7">
        <f>IF($G156&lt;&gt;0,$D156*$E156*$F156*H156/$G156,)</f>
        <v>37.5</v>
      </c>
      <c r="L156" s="11">
        <f>IF($G156&lt;&gt;0,$D156*$E156*$F156*I156/$G156,)</f>
        <v>25</v>
      </c>
      <c r="M156" s="13">
        <f>IF($B156 = "Ballistic", 1.25*$L156,$L156)</f>
        <v>25</v>
      </c>
      <c r="N156" s="13">
        <f>IF($B156 = "Ballistic", $M156*1.5,$M156)</f>
        <v>25</v>
      </c>
      <c r="O156" s="7">
        <f>IF($G156&lt;&gt;0,$D156*$E156*$F156*J156/$G156,)</f>
        <v>12.5</v>
      </c>
      <c r="P156" s="9">
        <f>$D156*$I156*$F156</f>
        <v>100</v>
      </c>
      <c r="Q156" s="9">
        <f>$D156*$E156*$F156*$J156</f>
        <v>50</v>
      </c>
      <c r="R156" s="5">
        <v>140</v>
      </c>
      <c r="S156" s="12">
        <v>250</v>
      </c>
      <c r="T156" s="5">
        <f>VLOOKUP(G156,Standard_F_Rates,2)</f>
        <v>8</v>
      </c>
      <c r="U156" s="5">
        <f>VLOOKUP(L156,Torpedo_Weapon_Damage_Table,2)</f>
        <v>6</v>
      </c>
      <c r="V156" s="5">
        <f>VLOOKUP(Z156+AA156,Standard_Accuracy_Table,2)</f>
        <v>7</v>
      </c>
      <c r="W156" s="5">
        <f>VLOOKUP(X156,Standard_Range_Table,2)</f>
        <v>9</v>
      </c>
      <c r="X156" s="5">
        <v>2500</v>
      </c>
      <c r="Y156" s="7">
        <f>$D156*$E156/$G156</f>
        <v>0.25</v>
      </c>
      <c r="Z156" s="5">
        <v>1</v>
      </c>
      <c r="AA156" s="5"/>
    </row>
    <row r="157" spans="1:27" s="2" customFormat="1" x14ac:dyDescent="0.25">
      <c r="A157" s="5" t="s">
        <v>126</v>
      </c>
      <c r="B157" s="5" t="s">
        <v>122</v>
      </c>
      <c r="C157" s="5" t="s">
        <v>118</v>
      </c>
      <c r="D157" s="5">
        <f>IF(LEFT($A157,4) = "Dual",2,IF(LEFT($A157,6) = "Triple",3,1))</f>
        <v>1</v>
      </c>
      <c r="E157" s="5">
        <v>2</v>
      </c>
      <c r="F157" s="6">
        <v>1</v>
      </c>
      <c r="G157" s="5">
        <v>18</v>
      </c>
      <c r="H157" s="5">
        <v>200</v>
      </c>
      <c r="I157" s="5">
        <v>200</v>
      </c>
      <c r="J157" s="5">
        <v>200</v>
      </c>
      <c r="K157" s="7">
        <f>IF($G157&lt;&gt;0,$D157*$E157*$F157*H157/$G157,)</f>
        <v>22.222222222222221</v>
      </c>
      <c r="L157" s="11">
        <f>IF($G157&lt;&gt;0,$D157*$E157*$F157*I157/$G157,)</f>
        <v>22.222222222222221</v>
      </c>
      <c r="M157" s="13">
        <f>IF($B157 = "Ballistic", 1.25*$L157,$L157)</f>
        <v>22.222222222222221</v>
      </c>
      <c r="N157" s="13">
        <f>IF($B157 = "Ballistic", $M157*1.5,$M157)</f>
        <v>22.222222222222221</v>
      </c>
      <c r="O157" s="7">
        <f>IF($G157&lt;&gt;0,$D157*$E157*$F157*J157/$G157,)</f>
        <v>22.222222222222221</v>
      </c>
      <c r="P157" s="9">
        <f>$D157*$I157*$F157</f>
        <v>200</v>
      </c>
      <c r="Q157" s="9">
        <f>$D157*$E157*$F157*$J157</f>
        <v>400</v>
      </c>
      <c r="R157" s="5"/>
      <c r="S157" s="12">
        <v>250</v>
      </c>
      <c r="T157" s="5">
        <f>VLOOKUP(G157,Standard_F_Rates,2)</f>
        <v>2</v>
      </c>
      <c r="U157" s="5">
        <f>VLOOKUP(L157,Torpedo_Weapon_Damage_Table,2)</f>
        <v>5</v>
      </c>
      <c r="V157" s="5">
        <f>VLOOKUP(Z157+AA157,Standard_Accuracy_Table,2)</f>
        <v>6</v>
      </c>
      <c r="W157" s="5">
        <f>VLOOKUP(X157,Standard_Range_Table,2)</f>
        <v>9</v>
      </c>
      <c r="X157" s="5">
        <v>2500</v>
      </c>
      <c r="Y157" s="7">
        <f>$D157*$E157/$G157</f>
        <v>0.1111111111111111</v>
      </c>
      <c r="Z157" s="5">
        <v>1.5</v>
      </c>
      <c r="AA157" s="5"/>
    </row>
    <row r="158" spans="1:27" s="2" customFormat="1" x14ac:dyDescent="0.25">
      <c r="A158" s="5" t="s">
        <v>128</v>
      </c>
      <c r="B158" s="5" t="s">
        <v>128</v>
      </c>
      <c r="C158" s="5" t="s">
        <v>118</v>
      </c>
      <c r="D158" s="5">
        <f>IF(LEFT($A158,4) = "Dual",2,IF(LEFT($A158,6) = "Triple",3,1))</f>
        <v>1</v>
      </c>
      <c r="E158" s="5">
        <v>1</v>
      </c>
      <c r="F158" s="6">
        <v>1</v>
      </c>
      <c r="G158" s="5">
        <v>30</v>
      </c>
      <c r="H158" s="5">
        <v>150</v>
      </c>
      <c r="I158" s="5">
        <v>600</v>
      </c>
      <c r="J158" s="5">
        <v>900</v>
      </c>
      <c r="K158" s="7">
        <f>IF($G158&lt;&gt;0,$D158*$E158*$F158*H158/$G158,)</f>
        <v>5</v>
      </c>
      <c r="L158" s="11">
        <f>IF($G158&lt;&gt;0,$D158*$E158*$F158*I158/$G158,)</f>
        <v>20</v>
      </c>
      <c r="M158" s="13">
        <f>IF($B158 = "Ballistic", 1.25*$L158,$L158)</f>
        <v>20</v>
      </c>
      <c r="N158" s="13">
        <f>IF($B158 = "Ballistic", $M158*1.5,$M158)</f>
        <v>20</v>
      </c>
      <c r="O158" s="7">
        <f>IF($G158&lt;&gt;0,$D158*$E158*$F158*J158/$G158,)</f>
        <v>30</v>
      </c>
      <c r="P158" s="9">
        <f>$D158*$I158*$F158</f>
        <v>600</v>
      </c>
      <c r="Q158" s="9">
        <f>$D158*$E158*$F158*$J158</f>
        <v>900</v>
      </c>
      <c r="R158" s="5">
        <v>200</v>
      </c>
      <c r="S158" s="12">
        <v>200</v>
      </c>
      <c r="T158" s="5">
        <f>VLOOKUP(G158,Standard_F_Rates,2)</f>
        <v>1</v>
      </c>
      <c r="U158" s="5">
        <f>VLOOKUP(L158,Torpedo_Weapon_Damage_Table,2)</f>
        <v>5</v>
      </c>
      <c r="V158" s="5">
        <f>VLOOKUP(Z158+AA158,Standard_Accuracy_Table,2)</f>
        <v>10</v>
      </c>
      <c r="W158" s="5">
        <f>VLOOKUP(X158,Standard_Range_Table,2)</f>
        <v>10</v>
      </c>
      <c r="X158" s="5">
        <v>3000</v>
      </c>
      <c r="Y158" s="7">
        <f>$D158*$E158/$G158</f>
        <v>3.3333333333333333E-2</v>
      </c>
      <c r="Z158" s="5">
        <v>0</v>
      </c>
      <c r="AA158" s="5"/>
    </row>
    <row r="159" spans="1:27" s="2" customFormat="1" x14ac:dyDescent="0.25">
      <c r="A159" s="5" t="s">
        <v>125</v>
      </c>
      <c r="B159" s="5" t="s">
        <v>122</v>
      </c>
      <c r="C159" s="5" t="s">
        <v>118</v>
      </c>
      <c r="D159" s="5">
        <f>IF(LEFT($A159,4) = "Dual",2,IF(LEFT($A159,6) = "Triple",3,1))</f>
        <v>1</v>
      </c>
      <c r="E159" s="5">
        <v>1</v>
      </c>
      <c r="F159" s="6">
        <v>1</v>
      </c>
      <c r="G159" s="5">
        <v>18</v>
      </c>
      <c r="H159" s="5">
        <v>200</v>
      </c>
      <c r="I159" s="5">
        <v>200</v>
      </c>
      <c r="J159" s="5">
        <v>200</v>
      </c>
      <c r="K159" s="7">
        <f>IF($G159&lt;&gt;0,$D159*$E159*$F159*H159/$G159,)</f>
        <v>11.111111111111111</v>
      </c>
      <c r="L159" s="11">
        <f>IF($G159&lt;&gt;0,$D159*$E159*$F159*I159/$G159,)</f>
        <v>11.111111111111111</v>
      </c>
      <c r="M159" s="13">
        <f>IF($B159 = "Ballistic", 1.25*$L159,$L159)</f>
        <v>11.111111111111111</v>
      </c>
      <c r="N159" s="13">
        <f>IF($B159 = "Ballistic", $M159*1.5,$M159)</f>
        <v>11.111111111111111</v>
      </c>
      <c r="O159" s="7">
        <f>IF($G159&lt;&gt;0,$D159*$E159*$F159*J159/$G159,)</f>
        <v>11.111111111111111</v>
      </c>
      <c r="P159" s="9">
        <f>$D159*$I159*$F159</f>
        <v>200</v>
      </c>
      <c r="Q159" s="9">
        <f>$D159*$E159*$F159*$J159</f>
        <v>200</v>
      </c>
      <c r="R159" s="5">
        <v>80</v>
      </c>
      <c r="S159" s="12">
        <v>150</v>
      </c>
      <c r="T159" s="5">
        <f>VLOOKUP(G159,Standard_F_Rates,2)</f>
        <v>2</v>
      </c>
      <c r="U159" s="5">
        <f>VLOOKUP(L159,Torpedo_Weapon_Damage_Table,2)</f>
        <v>3</v>
      </c>
      <c r="V159" s="5">
        <f>VLOOKUP(Z159+AA159,Standard_Accuracy_Table,2)</f>
        <v>5</v>
      </c>
      <c r="W159" s="5">
        <f>VLOOKUP(X159,Standard_Range_Table,2)</f>
        <v>9</v>
      </c>
      <c r="X159" s="5">
        <v>2500</v>
      </c>
      <c r="Y159" s="7">
        <f>$D159*$E159/$G159</f>
        <v>5.5555555555555552E-2</v>
      </c>
      <c r="Z159" s="5">
        <v>2</v>
      </c>
      <c r="AA159" s="5"/>
    </row>
    <row r="160" spans="1:27" s="2" customFormat="1" x14ac:dyDescent="0.25">
      <c r="A160" s="5" t="s">
        <v>53</v>
      </c>
      <c r="B160" s="5" t="s">
        <v>129</v>
      </c>
      <c r="C160" s="5" t="s">
        <v>118</v>
      </c>
      <c r="D160" s="5">
        <f>IF(LEFT($A160,4) = "Dual",2,IF(LEFT($A160,6) = "Triple",3,1))</f>
        <v>1</v>
      </c>
      <c r="E160" s="5">
        <v>1</v>
      </c>
      <c r="F160" s="6">
        <v>1</v>
      </c>
      <c r="G160" s="5">
        <v>12</v>
      </c>
      <c r="H160" s="5">
        <v>100</v>
      </c>
      <c r="I160" s="5">
        <v>100</v>
      </c>
      <c r="J160" s="5">
        <v>100</v>
      </c>
      <c r="K160" s="7">
        <f>IF($G160&lt;&gt;0,$D160*$E160*$F160*H160/$G160,)</f>
        <v>8.3333333333333339</v>
      </c>
      <c r="L160" s="11">
        <f>IF($G160&lt;&gt;0,$D160*$E160*$F160*I160/$G160,)</f>
        <v>8.3333333333333339</v>
      </c>
      <c r="M160" s="13">
        <f>IF($B160 = "Ballistic", 1.25*$L160,$L160)</f>
        <v>8.3333333333333339</v>
      </c>
      <c r="N160" s="13">
        <f>IF($B160 = "Ballistic", $M160*1.5,$M160)</f>
        <v>8.3333333333333339</v>
      </c>
      <c r="O160" s="7">
        <f>IF($G160&lt;&gt;0,$D160*$E160*$F160*J160/$G160,)</f>
        <v>8.3333333333333339</v>
      </c>
      <c r="P160" s="9">
        <f>$D160*$I160*$F160</f>
        <v>100</v>
      </c>
      <c r="Q160" s="9">
        <f>$D160*$E160*$F160*$J160</f>
        <v>100</v>
      </c>
      <c r="R160" s="5">
        <v>100</v>
      </c>
      <c r="S160" s="12">
        <v>100</v>
      </c>
      <c r="T160" s="5">
        <f>VLOOKUP(G160,Standard_F_Rates,2)</f>
        <v>3</v>
      </c>
      <c r="U160" s="5">
        <f>VLOOKUP(L160,Torpedo_Weapon_Damage_Table,2)</f>
        <v>2</v>
      </c>
      <c r="V160" s="5">
        <f>VLOOKUP(Z160+AA160,Standard_Accuracy_Table,2)</f>
        <v>9</v>
      </c>
      <c r="W160" s="5">
        <f>VLOOKUP(X160,Standard_Range_Table,2)</f>
        <v>6</v>
      </c>
      <c r="X160" s="5">
        <v>1400</v>
      </c>
      <c r="Y160" s="7">
        <f>$D160*$E160/$G160</f>
        <v>8.3333333333333329E-2</v>
      </c>
      <c r="Z160" s="5">
        <v>0.1</v>
      </c>
      <c r="AA160" s="5"/>
    </row>
    <row r="161" spans="1:27" s="2" customFormat="1" x14ac:dyDescent="0.25">
      <c r="A161" s="5" t="s">
        <v>120</v>
      </c>
      <c r="B161" s="5" t="s">
        <v>129</v>
      </c>
      <c r="C161" s="5" t="s">
        <v>118</v>
      </c>
      <c r="D161" s="5">
        <f>IF(LEFT($A161,4) = "Dual",2,IF(LEFT($A161,6) = "Triple",3,1))</f>
        <v>1</v>
      </c>
      <c r="E161" s="5">
        <v>1</v>
      </c>
      <c r="F161" s="6">
        <v>1</v>
      </c>
      <c r="G161" s="5">
        <v>18</v>
      </c>
      <c r="H161" s="5">
        <v>100</v>
      </c>
      <c r="I161" s="5">
        <v>100</v>
      </c>
      <c r="J161" s="5">
        <v>100</v>
      </c>
      <c r="K161" s="7">
        <f>IF($G161&lt;&gt;0,$D161*$E161*$F161*H161/$G161,)</f>
        <v>5.5555555555555554</v>
      </c>
      <c r="L161" s="11">
        <f>IF($G161&lt;&gt;0,$D161*$E161*$F161*I161/$G161,)</f>
        <v>5.5555555555555554</v>
      </c>
      <c r="M161" s="13">
        <f>IF($B161 = "Ballistic", 1.25*$L161,$L161)</f>
        <v>5.5555555555555554</v>
      </c>
      <c r="N161" s="13">
        <f>IF($B161 = "Ballistic", $M161*1.5,$M161)</f>
        <v>5.5555555555555554</v>
      </c>
      <c r="O161" s="7">
        <f>IF($G161&lt;&gt;0,$D161*$E161*$F161*J161/$G161,)</f>
        <v>5.5555555555555554</v>
      </c>
      <c r="P161" s="9">
        <f>$D161*$I161*$F161</f>
        <v>100</v>
      </c>
      <c r="Q161" s="9">
        <f>$D161*$E161*$F161*$J161</f>
        <v>100</v>
      </c>
      <c r="R161" s="5">
        <v>200</v>
      </c>
      <c r="S161" s="12">
        <v>200</v>
      </c>
      <c r="T161" s="5">
        <f>VLOOKUP(G161,Standard_F_Rates,2)</f>
        <v>2</v>
      </c>
      <c r="U161" s="5">
        <f>VLOOKUP(L161,Torpedo_Weapon_Damage_Table,2)</f>
        <v>2</v>
      </c>
      <c r="V161" s="5">
        <f>VLOOKUP(Z161+AA161,Standard_Accuracy_Table,2)</f>
        <v>10</v>
      </c>
      <c r="W161" s="5">
        <f>VLOOKUP(X161,Standard_Range_Table,2)</f>
        <v>8</v>
      </c>
      <c r="X161" s="5">
        <v>2000</v>
      </c>
      <c r="Y161" s="7">
        <f>$D161*$E161/$G161</f>
        <v>5.5555555555555552E-2</v>
      </c>
      <c r="Z161" s="5">
        <v>0</v>
      </c>
      <c r="AA161" s="5"/>
    </row>
    <row r="162" spans="1:27" s="2" customFormat="1" x14ac:dyDescent="0.25">
      <c r="A162" s="5" t="s">
        <v>119</v>
      </c>
      <c r="B162" s="5" t="s">
        <v>129</v>
      </c>
      <c r="C162" s="5" t="s">
        <v>118</v>
      </c>
      <c r="D162" s="5">
        <f>IF(LEFT($A162,4) = "Dual",2,IF(LEFT($A162,6) = "Triple",3,1))</f>
        <v>1</v>
      </c>
      <c r="E162" s="5">
        <v>1</v>
      </c>
      <c r="F162" s="6">
        <v>1</v>
      </c>
      <c r="G162" s="5">
        <v>18</v>
      </c>
      <c r="H162" s="5">
        <v>100</v>
      </c>
      <c r="I162" s="5">
        <v>100</v>
      </c>
      <c r="J162" s="5">
        <v>100</v>
      </c>
      <c r="K162" s="7">
        <f>IF($G162&lt;&gt;0,$D162*$E162*$F162*H162/$G162,)</f>
        <v>5.5555555555555554</v>
      </c>
      <c r="L162" s="11">
        <f>IF($G162&lt;&gt;0,$D162*$E162*$F162*I162/$G162,)</f>
        <v>5.5555555555555554</v>
      </c>
      <c r="M162" s="13">
        <f>IF($B162 = "Ballistic", 1.25*$L162,$L162)</f>
        <v>5.5555555555555554</v>
      </c>
      <c r="N162" s="13">
        <f>IF($B162 = "Ballistic", $M162*1.5,$M162)</f>
        <v>5.5555555555555554</v>
      </c>
      <c r="O162" s="7">
        <f>IF($G162&lt;&gt;0,$D162*$E162*$F162*J162/$G162,)</f>
        <v>5.5555555555555554</v>
      </c>
      <c r="P162" s="9">
        <f>$D162*$I162*$F162</f>
        <v>100</v>
      </c>
      <c r="Q162" s="9">
        <f>$D162*$E162*$F162*$J162</f>
        <v>100</v>
      </c>
      <c r="R162" s="5">
        <v>100</v>
      </c>
      <c r="S162" s="12">
        <v>150</v>
      </c>
      <c r="T162" s="5">
        <f>VLOOKUP(G162,Standard_F_Rates,2)</f>
        <v>2</v>
      </c>
      <c r="U162" s="5">
        <f>VLOOKUP(L162,Torpedo_Weapon_Damage_Table,2)</f>
        <v>2</v>
      </c>
      <c r="V162" s="5">
        <f>VLOOKUP(Z162+AA162,Standard_Accuracy_Table,2)</f>
        <v>9</v>
      </c>
      <c r="W162" s="5">
        <f>VLOOKUP(X162,Standard_Range_Table,2)</f>
        <v>8</v>
      </c>
      <c r="X162" s="5">
        <v>2100</v>
      </c>
      <c r="Y162" s="7">
        <f>$D162*$E162/$G162</f>
        <v>5.5555555555555552E-2</v>
      </c>
      <c r="Z162" s="5">
        <v>0.2</v>
      </c>
      <c r="AA162" s="5"/>
    </row>
    <row r="163" spans="1:27" x14ac:dyDescent="0.25">
      <c r="F163" s="3"/>
      <c r="M163" s="3"/>
      <c r="N163" s="3"/>
      <c r="Q163" s="10"/>
    </row>
    <row r="164" spans="1:27" ht="23.25" x14ac:dyDescent="0.35">
      <c r="A164" s="45" t="s">
        <v>30</v>
      </c>
      <c r="C164" s="20"/>
      <c r="D164" s="20"/>
      <c r="E164" s="20"/>
      <c r="F164" s="20"/>
      <c r="H164" s="20"/>
      <c r="I164" s="20"/>
      <c r="J164" s="20"/>
      <c r="K164" s="20"/>
      <c r="L164" s="20"/>
      <c r="M164" s="20"/>
      <c r="O164" s="20"/>
      <c r="P164" s="20"/>
      <c r="Q164" s="24"/>
      <c r="S164" s="25"/>
    </row>
    <row r="165" spans="1:27" s="56" customFormat="1" ht="19.5" x14ac:dyDescent="0.3">
      <c r="A165" s="51" t="s">
        <v>0</v>
      </c>
      <c r="B165" s="51" t="s">
        <v>15</v>
      </c>
      <c r="C165" s="51" t="s">
        <v>64</v>
      </c>
      <c r="D165" s="51" t="s">
        <v>143</v>
      </c>
      <c r="E165" s="51" t="s">
        <v>173</v>
      </c>
      <c r="F165" s="52" t="s">
        <v>244</v>
      </c>
      <c r="G165" s="51" t="s">
        <v>185</v>
      </c>
      <c r="H165" s="51" t="s">
        <v>184</v>
      </c>
      <c r="I165" s="51" t="s">
        <v>180</v>
      </c>
      <c r="J165" s="51" t="s">
        <v>181</v>
      </c>
      <c r="K165" s="51" t="s">
        <v>182</v>
      </c>
      <c r="L165" s="51" t="s">
        <v>186</v>
      </c>
      <c r="M165" s="53" t="s">
        <v>88</v>
      </c>
      <c r="N165" s="53" t="s">
        <v>164</v>
      </c>
      <c r="O165" s="51" t="s">
        <v>183</v>
      </c>
      <c r="P165" s="51" t="s">
        <v>172</v>
      </c>
      <c r="Q165" s="51" t="s">
        <v>199</v>
      </c>
      <c r="R165" s="51" t="s">
        <v>166</v>
      </c>
      <c r="S165" s="51" t="s">
        <v>165</v>
      </c>
      <c r="T165" s="51" t="s">
        <v>59</v>
      </c>
      <c r="U165" s="51" t="s">
        <v>60</v>
      </c>
      <c r="V165" s="51" t="s">
        <v>61</v>
      </c>
      <c r="W165" s="51" t="s">
        <v>187</v>
      </c>
      <c r="X165" s="51" t="s">
        <v>174</v>
      </c>
      <c r="Y165" s="51" t="s">
        <v>175</v>
      </c>
      <c r="Z165" s="55" t="s">
        <v>197</v>
      </c>
      <c r="AA165" s="55" t="s">
        <v>196</v>
      </c>
    </row>
    <row r="166" spans="1:27" x14ac:dyDescent="0.25">
      <c r="A166" s="5" t="s">
        <v>58</v>
      </c>
      <c r="B166" s="5" t="s">
        <v>5</v>
      </c>
      <c r="C166" s="5" t="s">
        <v>179</v>
      </c>
      <c r="D166" s="5">
        <f t="shared" ref="D166:D175" si="17">IF(LEFT($A166,4) = "Dual",2,IF(LEFT($A166,6) = "Triple",3,1))</f>
        <v>1</v>
      </c>
      <c r="E166" s="5">
        <v>12</v>
      </c>
      <c r="F166" s="6">
        <v>1</v>
      </c>
      <c r="G166" s="5">
        <v>4</v>
      </c>
      <c r="H166" s="5">
        <v>15</v>
      </c>
      <c r="I166" s="5">
        <v>15</v>
      </c>
      <c r="J166" s="5">
        <v>15</v>
      </c>
      <c r="K166" s="7">
        <f t="shared" ref="K166:K175" si="18">$E166*$F166*H166/$G166</f>
        <v>45</v>
      </c>
      <c r="L166" s="8">
        <f t="shared" ref="L166:L175" si="19">$E166*$F166*I166/$G166</f>
        <v>45</v>
      </c>
      <c r="M166" s="13">
        <f t="shared" ref="M166:M175" si="20">IF($B166 = "Ballistic", 1.25*$L166,$L166)</f>
        <v>45</v>
      </c>
      <c r="N166" s="13">
        <f t="shared" ref="N166:N175" si="21">IF($B166 = "Ballistic", $M166*1.5,$M166)</f>
        <v>45</v>
      </c>
      <c r="O166" s="7">
        <f t="shared" ref="O166:O175" si="22">$E166*$F166*J166/$G166</f>
        <v>45</v>
      </c>
      <c r="P166" s="9">
        <f t="shared" ref="P166:P175" si="23">I166*F166</f>
        <v>15</v>
      </c>
      <c r="Q166" s="9">
        <f t="shared" ref="Q166:Q175" si="24">$D166*$E166*$F166*$J166</f>
        <v>180</v>
      </c>
      <c r="R166" s="5">
        <v>0</v>
      </c>
      <c r="S166" s="5">
        <v>0</v>
      </c>
      <c r="T166" s="5">
        <f t="shared" ref="T166:T175" si="25">VLOOKUP(G166,Standard_F_Rates,2)</f>
        <v>8</v>
      </c>
      <c r="U166" s="5">
        <f t="shared" ref="U166:U175" si="26">VLOOKUP(L166,Small_Weapon_Damage_Table,2)</f>
        <v>10</v>
      </c>
      <c r="V166" s="5">
        <f t="shared" ref="V166:V175" si="27">VLOOKUP(Z166+AA166,Standard_Accuracy_Table,2)</f>
        <v>1</v>
      </c>
      <c r="W166" s="5">
        <f t="shared" ref="W166:W175" si="28">VLOOKUP(X166,Standard_Range_Table,2)</f>
        <v>1</v>
      </c>
      <c r="X166" s="5">
        <v>350</v>
      </c>
      <c r="Y166" s="7">
        <f t="shared" ref="Y166:Y175" si="29">$D166*$E166/$G166</f>
        <v>3</v>
      </c>
      <c r="Z166" s="10">
        <v>2</v>
      </c>
      <c r="AA166" s="10">
        <v>5</v>
      </c>
    </row>
    <row r="167" spans="1:27" x14ac:dyDescent="0.25">
      <c r="A167" s="5" t="s">
        <v>29</v>
      </c>
      <c r="B167" s="5" t="s">
        <v>17</v>
      </c>
      <c r="C167" s="5" t="s">
        <v>179</v>
      </c>
      <c r="D167" s="5">
        <f t="shared" si="17"/>
        <v>1</v>
      </c>
      <c r="E167" s="5">
        <v>3</v>
      </c>
      <c r="F167" s="6">
        <v>1</v>
      </c>
      <c r="G167" s="5">
        <v>0.9</v>
      </c>
      <c r="H167" s="5">
        <v>12</v>
      </c>
      <c r="I167" s="5">
        <v>11</v>
      </c>
      <c r="J167" s="5">
        <v>10</v>
      </c>
      <c r="K167" s="7">
        <f t="shared" si="18"/>
        <v>40</v>
      </c>
      <c r="L167" s="8">
        <f t="shared" si="19"/>
        <v>36.666666666666664</v>
      </c>
      <c r="M167" s="13">
        <f t="shared" si="20"/>
        <v>36.666666666666664</v>
      </c>
      <c r="N167" s="13">
        <f t="shared" si="21"/>
        <v>36.666666666666664</v>
      </c>
      <c r="O167" s="7">
        <f t="shared" si="22"/>
        <v>33.333333333333336</v>
      </c>
      <c r="P167" s="9">
        <f t="shared" si="23"/>
        <v>11</v>
      </c>
      <c r="Q167" s="9">
        <f t="shared" si="24"/>
        <v>30</v>
      </c>
      <c r="R167" s="5">
        <v>0</v>
      </c>
      <c r="S167" s="5">
        <v>0</v>
      </c>
      <c r="T167" s="5">
        <f t="shared" si="25"/>
        <v>10</v>
      </c>
      <c r="U167" s="5">
        <f t="shared" si="26"/>
        <v>9</v>
      </c>
      <c r="V167" s="5">
        <f t="shared" si="27"/>
        <v>9</v>
      </c>
      <c r="W167" s="5">
        <f t="shared" si="28"/>
        <v>4</v>
      </c>
      <c r="X167" s="5">
        <v>975</v>
      </c>
      <c r="Y167" s="7">
        <f t="shared" si="29"/>
        <v>3.333333333333333</v>
      </c>
      <c r="Z167" s="10">
        <v>0.01</v>
      </c>
    </row>
    <row r="168" spans="1:27" x14ac:dyDescent="0.25">
      <c r="A168" s="5" t="s">
        <v>28</v>
      </c>
      <c r="B168" s="5" t="s">
        <v>68</v>
      </c>
      <c r="C168" s="5" t="s">
        <v>179</v>
      </c>
      <c r="D168" s="5">
        <f t="shared" si="17"/>
        <v>1</v>
      </c>
      <c r="E168" s="5">
        <v>1</v>
      </c>
      <c r="F168" s="6">
        <v>0.3</v>
      </c>
      <c r="G168" s="5">
        <v>2</v>
      </c>
      <c r="H168" s="5">
        <v>150</v>
      </c>
      <c r="I168" s="5">
        <v>150</v>
      </c>
      <c r="J168" s="5">
        <v>150</v>
      </c>
      <c r="K168" s="7">
        <f t="shared" si="18"/>
        <v>22.5</v>
      </c>
      <c r="L168" s="8">
        <f t="shared" si="19"/>
        <v>22.5</v>
      </c>
      <c r="M168" s="13">
        <f t="shared" si="20"/>
        <v>22.5</v>
      </c>
      <c r="N168" s="13">
        <f t="shared" si="21"/>
        <v>22.5</v>
      </c>
      <c r="O168" s="7">
        <f t="shared" si="22"/>
        <v>22.5</v>
      </c>
      <c r="P168" s="9">
        <f t="shared" si="23"/>
        <v>45</v>
      </c>
      <c r="Q168" s="9">
        <f t="shared" si="24"/>
        <v>45</v>
      </c>
      <c r="R168" s="5">
        <v>0</v>
      </c>
      <c r="S168" s="5">
        <v>0</v>
      </c>
      <c r="T168" s="5">
        <f t="shared" si="25"/>
        <v>9</v>
      </c>
      <c r="U168" s="5">
        <f t="shared" si="26"/>
        <v>6</v>
      </c>
      <c r="V168" s="5">
        <f t="shared" si="27"/>
        <v>10</v>
      </c>
      <c r="W168" s="5">
        <f t="shared" si="28"/>
        <v>3</v>
      </c>
      <c r="X168" s="5">
        <v>575</v>
      </c>
      <c r="Y168" s="7">
        <f t="shared" si="29"/>
        <v>0.5</v>
      </c>
      <c r="Z168" s="10">
        <v>0</v>
      </c>
    </row>
    <row r="169" spans="1:27" x14ac:dyDescent="0.25">
      <c r="A169" s="5" t="s">
        <v>23</v>
      </c>
      <c r="B169" s="5" t="s">
        <v>5</v>
      </c>
      <c r="C169" s="5" t="s">
        <v>179</v>
      </c>
      <c r="D169" s="5">
        <f t="shared" si="17"/>
        <v>1</v>
      </c>
      <c r="E169" s="5">
        <v>3</v>
      </c>
      <c r="F169" s="6">
        <v>1</v>
      </c>
      <c r="G169" s="5">
        <v>2.2999999999999998</v>
      </c>
      <c r="H169" s="5">
        <v>15</v>
      </c>
      <c r="I169" s="5">
        <v>15</v>
      </c>
      <c r="J169" s="5">
        <v>15</v>
      </c>
      <c r="K169" s="7">
        <f t="shared" si="18"/>
        <v>19.565217391304348</v>
      </c>
      <c r="L169" s="8">
        <f t="shared" si="19"/>
        <v>19.565217391304348</v>
      </c>
      <c r="M169" s="13">
        <f t="shared" si="20"/>
        <v>19.565217391304348</v>
      </c>
      <c r="N169" s="13">
        <f t="shared" si="21"/>
        <v>19.565217391304348</v>
      </c>
      <c r="O169" s="7">
        <f t="shared" si="22"/>
        <v>19.565217391304348</v>
      </c>
      <c r="P169" s="9">
        <f t="shared" si="23"/>
        <v>15</v>
      </c>
      <c r="Q169" s="9">
        <f t="shared" si="24"/>
        <v>45</v>
      </c>
      <c r="R169" s="5">
        <v>0</v>
      </c>
      <c r="S169" s="5">
        <v>0</v>
      </c>
      <c r="T169" s="5">
        <f t="shared" si="25"/>
        <v>9</v>
      </c>
      <c r="U169" s="5">
        <f t="shared" si="26"/>
        <v>5</v>
      </c>
      <c r="V169" s="5">
        <f t="shared" si="27"/>
        <v>8</v>
      </c>
      <c r="W169" s="5">
        <f t="shared" si="28"/>
        <v>2</v>
      </c>
      <c r="X169" s="5">
        <v>475</v>
      </c>
      <c r="Y169" s="7">
        <f t="shared" si="29"/>
        <v>1.3043478260869565</v>
      </c>
      <c r="Z169" s="10">
        <v>0.5</v>
      </c>
    </row>
    <row r="170" spans="1:27" x14ac:dyDescent="0.25">
      <c r="A170" s="5" t="s">
        <v>22</v>
      </c>
      <c r="B170" s="5" t="s">
        <v>17</v>
      </c>
      <c r="C170" s="5" t="s">
        <v>179</v>
      </c>
      <c r="D170" s="5">
        <f t="shared" si="17"/>
        <v>1</v>
      </c>
      <c r="E170" s="5">
        <v>3</v>
      </c>
      <c r="F170" s="6">
        <v>1</v>
      </c>
      <c r="G170" s="5">
        <v>1.8</v>
      </c>
      <c r="H170" s="5">
        <v>10</v>
      </c>
      <c r="I170" s="5">
        <v>9</v>
      </c>
      <c r="J170" s="5">
        <v>8</v>
      </c>
      <c r="K170" s="7">
        <f t="shared" si="18"/>
        <v>16.666666666666668</v>
      </c>
      <c r="L170" s="8">
        <f t="shared" si="19"/>
        <v>15</v>
      </c>
      <c r="M170" s="13">
        <f t="shared" si="20"/>
        <v>15</v>
      </c>
      <c r="N170" s="13">
        <f t="shared" si="21"/>
        <v>15</v>
      </c>
      <c r="O170" s="7">
        <f t="shared" si="22"/>
        <v>13.333333333333332</v>
      </c>
      <c r="P170" s="9">
        <f t="shared" si="23"/>
        <v>9</v>
      </c>
      <c r="Q170" s="9">
        <f t="shared" si="24"/>
        <v>24</v>
      </c>
      <c r="R170" s="5">
        <v>0</v>
      </c>
      <c r="S170" s="5">
        <v>0</v>
      </c>
      <c r="T170" s="5">
        <f t="shared" si="25"/>
        <v>9</v>
      </c>
      <c r="U170" s="5">
        <f t="shared" si="26"/>
        <v>5</v>
      </c>
      <c r="V170" s="5">
        <f t="shared" si="27"/>
        <v>9</v>
      </c>
      <c r="W170" s="5">
        <f t="shared" si="28"/>
        <v>4</v>
      </c>
      <c r="X170" s="5">
        <v>875</v>
      </c>
      <c r="Y170" s="7">
        <f t="shared" si="29"/>
        <v>1.6666666666666665</v>
      </c>
      <c r="Z170" s="10">
        <v>0.01</v>
      </c>
    </row>
    <row r="171" spans="1:27" x14ac:dyDescent="0.25">
      <c r="A171" s="5" t="s">
        <v>27</v>
      </c>
      <c r="B171" s="5" t="s">
        <v>26</v>
      </c>
      <c r="C171" s="5" t="s">
        <v>179</v>
      </c>
      <c r="D171" s="5">
        <f t="shared" si="17"/>
        <v>1</v>
      </c>
      <c r="E171" s="5">
        <v>3</v>
      </c>
      <c r="F171" s="6">
        <v>0.5</v>
      </c>
      <c r="G171" s="5">
        <v>2.8</v>
      </c>
      <c r="H171" s="5">
        <v>25</v>
      </c>
      <c r="I171" s="5">
        <v>25</v>
      </c>
      <c r="J171" s="5">
        <v>25</v>
      </c>
      <c r="K171" s="7">
        <f t="shared" si="18"/>
        <v>13.392857142857144</v>
      </c>
      <c r="L171" s="8">
        <f t="shared" si="19"/>
        <v>13.392857142857144</v>
      </c>
      <c r="M171" s="13">
        <f t="shared" si="20"/>
        <v>13.392857142857144</v>
      </c>
      <c r="N171" s="13">
        <f t="shared" si="21"/>
        <v>13.392857142857144</v>
      </c>
      <c r="O171" s="7">
        <f t="shared" si="22"/>
        <v>13.392857142857144</v>
      </c>
      <c r="P171" s="9">
        <f t="shared" si="23"/>
        <v>12.5</v>
      </c>
      <c r="Q171" s="9">
        <f t="shared" si="24"/>
        <v>37.5</v>
      </c>
      <c r="R171" s="5">
        <v>0</v>
      </c>
      <c r="S171" s="5">
        <v>0</v>
      </c>
      <c r="T171" s="5">
        <f t="shared" si="25"/>
        <v>9</v>
      </c>
      <c r="U171" s="5">
        <f t="shared" si="26"/>
        <v>4</v>
      </c>
      <c r="V171" s="5">
        <f t="shared" si="27"/>
        <v>10</v>
      </c>
      <c r="W171" s="5">
        <f t="shared" si="28"/>
        <v>1</v>
      </c>
      <c r="X171" s="5">
        <v>300</v>
      </c>
      <c r="Y171" s="7">
        <f t="shared" si="29"/>
        <v>1.0714285714285714</v>
      </c>
      <c r="Z171" s="10">
        <v>0</v>
      </c>
    </row>
    <row r="172" spans="1:27" x14ac:dyDescent="0.25">
      <c r="A172" s="5" t="s">
        <v>178</v>
      </c>
      <c r="B172" s="5" t="s">
        <v>25</v>
      </c>
      <c r="C172" s="5" t="s">
        <v>179</v>
      </c>
      <c r="D172" s="5">
        <f t="shared" si="17"/>
        <v>1</v>
      </c>
      <c r="E172" s="5">
        <v>1</v>
      </c>
      <c r="F172" s="6">
        <v>1</v>
      </c>
      <c r="G172" s="5">
        <v>6</v>
      </c>
      <c r="H172" s="5">
        <v>80</v>
      </c>
      <c r="I172" s="5">
        <v>80</v>
      </c>
      <c r="J172" s="5">
        <v>80</v>
      </c>
      <c r="K172" s="7">
        <f t="shared" si="18"/>
        <v>13.333333333333334</v>
      </c>
      <c r="L172" s="8">
        <f t="shared" si="19"/>
        <v>13.333333333333334</v>
      </c>
      <c r="M172" s="13">
        <f t="shared" si="20"/>
        <v>13.333333333333334</v>
      </c>
      <c r="N172" s="13">
        <f t="shared" si="21"/>
        <v>13.333333333333334</v>
      </c>
      <c r="O172" s="7">
        <f t="shared" si="22"/>
        <v>13.333333333333334</v>
      </c>
      <c r="P172" s="9">
        <f t="shared" si="23"/>
        <v>80</v>
      </c>
      <c r="Q172" s="9">
        <f t="shared" si="24"/>
        <v>80</v>
      </c>
      <c r="R172" s="5">
        <v>0</v>
      </c>
      <c r="S172" s="5">
        <v>0</v>
      </c>
      <c r="T172" s="5">
        <f t="shared" si="25"/>
        <v>7</v>
      </c>
      <c r="U172" s="5">
        <f t="shared" si="26"/>
        <v>4</v>
      </c>
      <c r="V172" s="5">
        <f t="shared" si="27"/>
        <v>10</v>
      </c>
      <c r="W172" s="5">
        <f t="shared" si="28"/>
        <v>3</v>
      </c>
      <c r="X172" s="5">
        <v>650</v>
      </c>
      <c r="Y172" s="7">
        <f t="shared" si="29"/>
        <v>0.16666666666666666</v>
      </c>
      <c r="Z172" s="10">
        <v>0</v>
      </c>
    </row>
    <row r="173" spans="1:27" x14ac:dyDescent="0.25">
      <c r="A173" s="5" t="s">
        <v>24</v>
      </c>
      <c r="B173" s="5" t="s">
        <v>68</v>
      </c>
      <c r="C173" s="5" t="s">
        <v>179</v>
      </c>
      <c r="D173" s="5">
        <f t="shared" si="17"/>
        <v>1</v>
      </c>
      <c r="E173" s="5">
        <v>1</v>
      </c>
      <c r="F173" s="6">
        <v>0.3</v>
      </c>
      <c r="G173" s="5">
        <v>2.5</v>
      </c>
      <c r="H173" s="5">
        <v>85</v>
      </c>
      <c r="I173" s="5">
        <v>85</v>
      </c>
      <c r="J173" s="5">
        <v>85</v>
      </c>
      <c r="K173" s="7">
        <f t="shared" si="18"/>
        <v>10.199999999999999</v>
      </c>
      <c r="L173" s="8">
        <f t="shared" si="19"/>
        <v>10.199999999999999</v>
      </c>
      <c r="M173" s="13">
        <f t="shared" si="20"/>
        <v>10.199999999999999</v>
      </c>
      <c r="N173" s="13">
        <f t="shared" si="21"/>
        <v>10.199999999999999</v>
      </c>
      <c r="O173" s="7">
        <f t="shared" si="22"/>
        <v>10.199999999999999</v>
      </c>
      <c r="P173" s="9">
        <f t="shared" si="23"/>
        <v>25.5</v>
      </c>
      <c r="Q173" s="9">
        <f t="shared" si="24"/>
        <v>25.5</v>
      </c>
      <c r="R173" s="5">
        <v>0</v>
      </c>
      <c r="S173" s="5">
        <v>0</v>
      </c>
      <c r="T173" s="5">
        <f t="shared" si="25"/>
        <v>9</v>
      </c>
      <c r="U173" s="5">
        <f t="shared" si="26"/>
        <v>4</v>
      </c>
      <c r="V173" s="5">
        <f t="shared" si="27"/>
        <v>10</v>
      </c>
      <c r="W173" s="5">
        <f t="shared" si="28"/>
        <v>2</v>
      </c>
      <c r="X173" s="5">
        <v>375</v>
      </c>
      <c r="Y173" s="7">
        <f t="shared" si="29"/>
        <v>0.4</v>
      </c>
      <c r="Z173" s="10">
        <v>0</v>
      </c>
    </row>
    <row r="174" spans="1:27" x14ac:dyDescent="0.25">
      <c r="A174" s="5" t="s">
        <v>177</v>
      </c>
      <c r="B174" s="5" t="s">
        <v>25</v>
      </c>
      <c r="C174" s="5" t="s">
        <v>179</v>
      </c>
      <c r="D174" s="5">
        <f t="shared" si="17"/>
        <v>1</v>
      </c>
      <c r="E174" s="5">
        <v>1</v>
      </c>
      <c r="F174" s="6">
        <v>1</v>
      </c>
      <c r="G174" s="5">
        <v>6</v>
      </c>
      <c r="H174" s="5">
        <v>56</v>
      </c>
      <c r="I174" s="5">
        <v>56</v>
      </c>
      <c r="J174" s="5">
        <v>56</v>
      </c>
      <c r="K174" s="7">
        <f t="shared" si="18"/>
        <v>9.3333333333333339</v>
      </c>
      <c r="L174" s="8">
        <f t="shared" si="19"/>
        <v>9.3333333333333339</v>
      </c>
      <c r="M174" s="13">
        <f t="shared" si="20"/>
        <v>9.3333333333333339</v>
      </c>
      <c r="N174" s="13">
        <f t="shared" si="21"/>
        <v>9.3333333333333339</v>
      </c>
      <c r="O174" s="7">
        <f t="shared" si="22"/>
        <v>9.3333333333333339</v>
      </c>
      <c r="P174" s="9">
        <f t="shared" si="23"/>
        <v>56</v>
      </c>
      <c r="Q174" s="9">
        <f t="shared" si="24"/>
        <v>56</v>
      </c>
      <c r="R174" s="5">
        <v>0</v>
      </c>
      <c r="S174" s="5">
        <v>0</v>
      </c>
      <c r="T174" s="5">
        <f t="shared" si="25"/>
        <v>7</v>
      </c>
      <c r="U174" s="5">
        <f t="shared" si="26"/>
        <v>3</v>
      </c>
      <c r="V174" s="5">
        <f t="shared" si="27"/>
        <v>10</v>
      </c>
      <c r="W174" s="5">
        <f t="shared" si="28"/>
        <v>3</v>
      </c>
      <c r="X174" s="5">
        <v>650</v>
      </c>
      <c r="Y174" s="7">
        <f t="shared" si="29"/>
        <v>0.16666666666666666</v>
      </c>
      <c r="Z174" s="10">
        <v>0</v>
      </c>
    </row>
    <row r="175" spans="1:27" x14ac:dyDescent="0.25">
      <c r="A175" s="5" t="s">
        <v>176</v>
      </c>
      <c r="B175" s="5" t="s">
        <v>25</v>
      </c>
      <c r="C175" s="5" t="s">
        <v>179</v>
      </c>
      <c r="D175" s="5">
        <f t="shared" si="17"/>
        <v>1</v>
      </c>
      <c r="E175" s="5">
        <v>1</v>
      </c>
      <c r="F175" s="6">
        <v>1</v>
      </c>
      <c r="G175" s="5">
        <v>6</v>
      </c>
      <c r="H175" s="5">
        <v>24</v>
      </c>
      <c r="I175" s="5">
        <v>24</v>
      </c>
      <c r="J175" s="5">
        <v>24</v>
      </c>
      <c r="K175" s="7">
        <f t="shared" si="18"/>
        <v>4</v>
      </c>
      <c r="L175" s="8">
        <f t="shared" si="19"/>
        <v>4</v>
      </c>
      <c r="M175" s="13">
        <f t="shared" si="20"/>
        <v>4</v>
      </c>
      <c r="N175" s="13">
        <f t="shared" si="21"/>
        <v>4</v>
      </c>
      <c r="O175" s="7">
        <f t="shared" si="22"/>
        <v>4</v>
      </c>
      <c r="P175" s="9">
        <f t="shared" si="23"/>
        <v>24</v>
      </c>
      <c r="Q175" s="9">
        <f t="shared" si="24"/>
        <v>24</v>
      </c>
      <c r="R175" s="5">
        <v>0</v>
      </c>
      <c r="S175" s="5">
        <v>0</v>
      </c>
      <c r="T175" s="5">
        <f t="shared" si="25"/>
        <v>7</v>
      </c>
      <c r="U175" s="5">
        <f t="shared" si="26"/>
        <v>1</v>
      </c>
      <c r="V175" s="5">
        <f t="shared" si="27"/>
        <v>10</v>
      </c>
      <c r="W175" s="5">
        <f t="shared" si="28"/>
        <v>3</v>
      </c>
      <c r="X175" s="5">
        <v>650</v>
      </c>
      <c r="Y175" s="7">
        <f t="shared" si="29"/>
        <v>0.16666666666666666</v>
      </c>
      <c r="Z175" s="10">
        <v>0</v>
      </c>
    </row>
    <row r="177" spans="1:31" ht="23.25" x14ac:dyDescent="0.35">
      <c r="A177" s="67" t="s">
        <v>214</v>
      </c>
    </row>
    <row r="178" spans="1:31" s="54" customFormat="1" ht="19.5" x14ac:dyDescent="0.3">
      <c r="A178" s="51" t="s">
        <v>0</v>
      </c>
      <c r="B178" s="51" t="s">
        <v>15</v>
      </c>
      <c r="C178" s="51" t="s">
        <v>64</v>
      </c>
      <c r="D178" s="51" t="s">
        <v>143</v>
      </c>
      <c r="E178" s="51" t="s">
        <v>173</v>
      </c>
      <c r="F178" s="52" t="s">
        <v>244</v>
      </c>
      <c r="G178" s="51" t="s">
        <v>185</v>
      </c>
      <c r="H178" s="51" t="s">
        <v>245</v>
      </c>
      <c r="I178" s="51" t="s">
        <v>266</v>
      </c>
      <c r="J178" s="51" t="s">
        <v>235</v>
      </c>
      <c r="K178" s="51" t="s">
        <v>243</v>
      </c>
      <c r="L178" s="51" t="s">
        <v>268</v>
      </c>
      <c r="M178" s="51" t="s">
        <v>269</v>
      </c>
      <c r="N178" s="51" t="s">
        <v>273</v>
      </c>
      <c r="O178" s="51" t="s">
        <v>270</v>
      </c>
      <c r="P178" s="51" t="s">
        <v>241</v>
      </c>
      <c r="Q178" s="51" t="s">
        <v>166</v>
      </c>
      <c r="R178" s="51" t="s">
        <v>165</v>
      </c>
      <c r="S178" s="51" t="s">
        <v>59</v>
      </c>
      <c r="T178" s="51" t="s">
        <v>60</v>
      </c>
      <c r="U178" s="51" t="s">
        <v>61</v>
      </c>
      <c r="V178" s="51" t="s">
        <v>187</v>
      </c>
      <c r="X178" s="51"/>
      <c r="Z178" s="51"/>
      <c r="AA178" s="51"/>
    </row>
    <row r="179" spans="1:31" x14ac:dyDescent="0.25">
      <c r="A179" s="5" t="s">
        <v>216</v>
      </c>
      <c r="B179" s="5" t="s">
        <v>215</v>
      </c>
      <c r="C179" s="5" t="s">
        <v>215</v>
      </c>
      <c r="D179" s="5">
        <f t="shared" ref="D179:D187" si="30">IF(LEFT($A179,4) = "Dual",2,IF(LEFT($A179,6) = "Triple",3,1))</f>
        <v>1</v>
      </c>
      <c r="E179" s="5">
        <v>2</v>
      </c>
      <c r="F179" s="6">
        <v>1</v>
      </c>
      <c r="G179" s="5">
        <v>4</v>
      </c>
      <c r="H179" s="5">
        <v>150</v>
      </c>
      <c r="I179" s="12">
        <f t="shared" ref="I179:I187" si="31">D179*E179/G179*H179</f>
        <v>75</v>
      </c>
      <c r="J179" s="5">
        <v>120</v>
      </c>
      <c r="K179" s="6">
        <v>30</v>
      </c>
      <c r="L179" s="64">
        <v>35</v>
      </c>
      <c r="M179" s="7"/>
      <c r="N179" s="23"/>
      <c r="O179" s="65">
        <v>50</v>
      </c>
      <c r="P179" s="65">
        <v>1</v>
      </c>
      <c r="Q179" s="5">
        <v>50</v>
      </c>
      <c r="R179" s="5">
        <v>25</v>
      </c>
      <c r="S179" s="5">
        <f>VLOOKUP(Table18[[#This Row],[Cycle(s)]],Standard_F_Rates,2)</f>
        <v>8</v>
      </c>
      <c r="T179" s="5">
        <f>VLOOKUP(Table18[[#This Row],[Dmg]],Mine_Dmg_Table,2)</f>
        <v>1</v>
      </c>
      <c r="U179" s="5">
        <v>0</v>
      </c>
      <c r="V179" s="5">
        <f>VLOOKUP(Table18[[#This Row],[dam-r]]+Table18[[#This Row],[effect-r]],mine_range_table,2)</f>
        <v>1</v>
      </c>
      <c r="X179" s="5"/>
      <c r="Z179" s="5"/>
      <c r="AA179" s="5"/>
    </row>
    <row r="180" spans="1:31" x14ac:dyDescent="0.25">
      <c r="A180" s="3" t="s">
        <v>217</v>
      </c>
      <c r="B180" s="5" t="s">
        <v>215</v>
      </c>
      <c r="C180" s="5" t="s">
        <v>215</v>
      </c>
      <c r="D180" s="5">
        <f t="shared" si="30"/>
        <v>1</v>
      </c>
      <c r="E180" s="5">
        <v>2</v>
      </c>
      <c r="F180" s="6">
        <v>1</v>
      </c>
      <c r="G180" s="5">
        <v>4</v>
      </c>
      <c r="H180" s="5">
        <v>500</v>
      </c>
      <c r="I180" s="12">
        <f t="shared" si="31"/>
        <v>250</v>
      </c>
      <c r="J180" s="5">
        <v>120</v>
      </c>
      <c r="K180" s="5">
        <v>30</v>
      </c>
      <c r="L180" s="5">
        <v>50</v>
      </c>
      <c r="M180" s="3"/>
      <c r="N180" s="23"/>
      <c r="O180" s="5">
        <v>90</v>
      </c>
      <c r="P180" s="65">
        <v>1</v>
      </c>
      <c r="Q180" s="3">
        <v>70</v>
      </c>
      <c r="R180" s="3">
        <v>50</v>
      </c>
      <c r="S180" s="5">
        <f>VLOOKUP(Table18[[#This Row],[Cycle(s)]],Standard_F_Rates,2)</f>
        <v>8</v>
      </c>
      <c r="T180" s="5">
        <f>VLOOKUP(Table18[[#This Row],[Dmg]],Mine_Dmg_Table,2)</f>
        <v>5</v>
      </c>
      <c r="U180" s="5">
        <v>0</v>
      </c>
      <c r="V180" s="5">
        <f>VLOOKUP(Table18[[#This Row],[dam-r]]+Table18[[#This Row],[effect-r]],mine_range_table,2)</f>
        <v>2</v>
      </c>
    </row>
    <row r="181" spans="1:31" x14ac:dyDescent="0.25">
      <c r="A181" s="2" t="s">
        <v>218</v>
      </c>
      <c r="B181" s="5" t="s">
        <v>215</v>
      </c>
      <c r="C181" s="5" t="s">
        <v>215</v>
      </c>
      <c r="D181" s="5">
        <f t="shared" si="30"/>
        <v>1</v>
      </c>
      <c r="E181" s="5">
        <v>2</v>
      </c>
      <c r="F181" s="6">
        <v>1</v>
      </c>
      <c r="G181" s="5">
        <v>4</v>
      </c>
      <c r="H181" s="5">
        <v>300</v>
      </c>
      <c r="I181" s="12">
        <f t="shared" si="31"/>
        <v>150</v>
      </c>
      <c r="J181" s="5">
        <v>120</v>
      </c>
      <c r="K181" s="5">
        <v>20</v>
      </c>
      <c r="L181" s="5">
        <v>20</v>
      </c>
      <c r="M181" s="5">
        <v>562</v>
      </c>
      <c r="N181" s="23"/>
      <c r="O181" s="5">
        <v>300</v>
      </c>
      <c r="P181" s="65">
        <v>9</v>
      </c>
      <c r="Q181" s="5">
        <v>50</v>
      </c>
      <c r="R181" s="3">
        <v>75</v>
      </c>
      <c r="S181" s="5">
        <f>VLOOKUP(Table18[[#This Row],[Cycle(s)]],Standard_F_Rates,2)</f>
        <v>8</v>
      </c>
      <c r="T181" s="5">
        <f>VLOOKUP(Table18[[#This Row],[Dmg]],Mine_Dmg_Table,2)</f>
        <v>3</v>
      </c>
      <c r="U181" s="5">
        <v>0</v>
      </c>
      <c r="V181" s="5">
        <f>VLOOKUP(Table18[[#This Row],[dam-r]]+Table18[[#This Row],[effect-r]],mine_range_table,2)</f>
        <v>8</v>
      </c>
    </row>
    <row r="182" spans="1:31" x14ac:dyDescent="0.25">
      <c r="A182" s="2" t="s">
        <v>219</v>
      </c>
      <c r="B182" s="5" t="s">
        <v>215</v>
      </c>
      <c r="C182" s="5" t="s">
        <v>215</v>
      </c>
      <c r="D182" s="5">
        <f t="shared" si="30"/>
        <v>1</v>
      </c>
      <c r="E182" s="5">
        <v>2</v>
      </c>
      <c r="F182" s="6">
        <v>1</v>
      </c>
      <c r="G182" s="5">
        <v>4</v>
      </c>
      <c r="H182" s="5">
        <v>300</v>
      </c>
      <c r="I182" s="12">
        <f t="shared" si="31"/>
        <v>150</v>
      </c>
      <c r="J182" s="5">
        <v>90</v>
      </c>
      <c r="K182" s="5">
        <v>30</v>
      </c>
      <c r="L182" s="5">
        <v>50</v>
      </c>
      <c r="M182" s="3"/>
      <c r="N182" s="23"/>
      <c r="O182" s="3">
        <v>90</v>
      </c>
      <c r="P182" s="65">
        <v>1</v>
      </c>
      <c r="Q182" s="3">
        <v>70</v>
      </c>
      <c r="R182" s="2">
        <v>75</v>
      </c>
      <c r="S182" s="5">
        <f>VLOOKUP(Table18[[#This Row],[Cycle(s)]],Standard_F_Rates,2)</f>
        <v>8</v>
      </c>
      <c r="T182" s="5">
        <f>VLOOKUP(Table18[[#This Row],[Dmg]],Mine_Dmg_Table,2)</f>
        <v>3</v>
      </c>
      <c r="U182" s="5">
        <v>0</v>
      </c>
      <c r="V182" s="5">
        <f>VLOOKUP(Table18[[#This Row],[dam-r]]+Table18[[#This Row],[effect-r]],mine_range_table,2)</f>
        <v>2</v>
      </c>
    </row>
    <row r="183" spans="1:31" x14ac:dyDescent="0.25">
      <c r="A183" s="2" t="s">
        <v>220</v>
      </c>
      <c r="B183" s="5" t="s">
        <v>215</v>
      </c>
      <c r="C183" s="5" t="s">
        <v>215</v>
      </c>
      <c r="D183" s="5">
        <f t="shared" si="30"/>
        <v>1</v>
      </c>
      <c r="E183" s="5">
        <v>2</v>
      </c>
      <c r="F183" s="6">
        <v>1</v>
      </c>
      <c r="G183" s="5">
        <v>4</v>
      </c>
      <c r="H183" s="5">
        <v>900</v>
      </c>
      <c r="I183" s="12">
        <f t="shared" si="31"/>
        <v>450</v>
      </c>
      <c r="J183" s="5">
        <v>120</v>
      </c>
      <c r="K183" s="5">
        <v>45</v>
      </c>
      <c r="L183" s="5">
        <v>75</v>
      </c>
      <c r="M183" s="3"/>
      <c r="N183" s="23"/>
      <c r="O183" s="3">
        <v>90</v>
      </c>
      <c r="P183" s="65">
        <v>1</v>
      </c>
      <c r="Q183" s="3">
        <v>50</v>
      </c>
      <c r="R183" s="2">
        <v>100</v>
      </c>
      <c r="S183" s="5">
        <f>VLOOKUP(Table18[[#This Row],[Cycle(s)]],Standard_F_Rates,2)</f>
        <v>8</v>
      </c>
      <c r="T183" s="5">
        <f>VLOOKUP(Table18[[#This Row],[Dmg]],Mine_Dmg_Table,2)</f>
        <v>9</v>
      </c>
      <c r="U183" s="5">
        <v>0</v>
      </c>
      <c r="V183" s="5">
        <f>VLOOKUP(Table18[[#This Row],[dam-r]]+Table18[[#This Row],[effect-r]],mine_range_table,2)</f>
        <v>3</v>
      </c>
    </row>
    <row r="184" spans="1:31" x14ac:dyDescent="0.25">
      <c r="A184" s="2" t="s">
        <v>221</v>
      </c>
      <c r="B184" s="5" t="s">
        <v>215</v>
      </c>
      <c r="C184" s="5" t="s">
        <v>215</v>
      </c>
      <c r="D184" s="5">
        <f t="shared" si="30"/>
        <v>1</v>
      </c>
      <c r="E184" s="5">
        <v>2</v>
      </c>
      <c r="F184" s="6">
        <v>1</v>
      </c>
      <c r="G184" s="5">
        <v>4</v>
      </c>
      <c r="H184" s="5">
        <v>700</v>
      </c>
      <c r="I184" s="12">
        <f t="shared" si="31"/>
        <v>350</v>
      </c>
      <c r="J184" s="5">
        <v>120</v>
      </c>
      <c r="K184" s="5">
        <v>45</v>
      </c>
      <c r="L184" s="5">
        <v>75</v>
      </c>
      <c r="M184" s="5">
        <v>762</v>
      </c>
      <c r="N184" s="23"/>
      <c r="O184" s="5">
        <v>400</v>
      </c>
      <c r="P184" s="65">
        <v>11</v>
      </c>
      <c r="Q184" s="2">
        <v>50</v>
      </c>
      <c r="R184" s="2">
        <v>125</v>
      </c>
      <c r="S184" s="5">
        <f>VLOOKUP(Table18[[#This Row],[Cycle(s)]],Standard_F_Rates,2)</f>
        <v>8</v>
      </c>
      <c r="T184" s="5">
        <f>VLOOKUP(Table18[[#This Row],[Dmg]],Mine_Dmg_Table,2)</f>
        <v>7</v>
      </c>
      <c r="U184" s="5">
        <v>0</v>
      </c>
      <c r="V184" s="5">
        <f>VLOOKUP(Table18[[#This Row],[dam-r]]+Table18[[#This Row],[effect-r]],mine_range_table,2)</f>
        <v>9</v>
      </c>
    </row>
    <row r="185" spans="1:31" x14ac:dyDescent="0.25">
      <c r="A185" s="2" t="s">
        <v>222</v>
      </c>
      <c r="B185" s="5" t="s">
        <v>215</v>
      </c>
      <c r="C185" s="5" t="s">
        <v>215</v>
      </c>
      <c r="D185" s="5">
        <f t="shared" si="30"/>
        <v>1</v>
      </c>
      <c r="E185" s="5">
        <v>2</v>
      </c>
      <c r="F185" s="6">
        <v>1</v>
      </c>
      <c r="G185" s="5">
        <v>4</v>
      </c>
      <c r="H185" s="5">
        <v>700</v>
      </c>
      <c r="I185" s="12">
        <f t="shared" si="31"/>
        <v>350</v>
      </c>
      <c r="J185" s="5">
        <v>90</v>
      </c>
      <c r="K185" s="5">
        <v>45</v>
      </c>
      <c r="L185" s="5">
        <v>75</v>
      </c>
      <c r="M185" s="3"/>
      <c r="N185" s="23"/>
      <c r="O185" s="3">
        <v>90</v>
      </c>
      <c r="P185" s="65">
        <v>1</v>
      </c>
      <c r="Q185" s="2">
        <v>70</v>
      </c>
      <c r="R185" s="2">
        <v>125</v>
      </c>
      <c r="S185" s="5">
        <f>VLOOKUP(Table18[[#This Row],[Cycle(s)]],Standard_F_Rates,2)</f>
        <v>8</v>
      </c>
      <c r="T185" s="5">
        <f>VLOOKUP(Table18[[#This Row],[Dmg]],Mine_Dmg_Table,2)</f>
        <v>7</v>
      </c>
      <c r="U185" s="5">
        <v>0</v>
      </c>
      <c r="V185" s="5">
        <f>VLOOKUP(Table18[[#This Row],[dam-r]]+Table18[[#This Row],[effect-r]],mine_range_table,2)</f>
        <v>3</v>
      </c>
    </row>
    <row r="186" spans="1:31" x14ac:dyDescent="0.25">
      <c r="A186" s="2" t="s">
        <v>223</v>
      </c>
      <c r="B186" s="5" t="s">
        <v>215</v>
      </c>
      <c r="C186" s="5" t="s">
        <v>215</v>
      </c>
      <c r="D186" s="5">
        <f t="shared" si="30"/>
        <v>1</v>
      </c>
      <c r="E186" s="5">
        <v>2</v>
      </c>
      <c r="F186" s="6">
        <v>3</v>
      </c>
      <c r="G186" s="5">
        <v>4</v>
      </c>
      <c r="H186" s="5">
        <v>0</v>
      </c>
      <c r="I186" s="12">
        <f t="shared" si="31"/>
        <v>0</v>
      </c>
      <c r="J186" s="5">
        <v>120</v>
      </c>
      <c r="K186" s="5">
        <v>30</v>
      </c>
      <c r="L186" s="5">
        <v>0</v>
      </c>
      <c r="M186" s="5">
        <v>350</v>
      </c>
      <c r="N186" s="23">
        <v>1100</v>
      </c>
      <c r="O186" s="3">
        <v>90</v>
      </c>
      <c r="P186" s="65">
        <v>1</v>
      </c>
      <c r="Q186" s="2">
        <v>50</v>
      </c>
      <c r="R186" s="2">
        <v>125</v>
      </c>
      <c r="S186" s="5">
        <f>VLOOKUP(Table18[[#This Row],[Cycle(s)]],Standard_F_Rates,2)</f>
        <v>8</v>
      </c>
      <c r="T186" s="5">
        <f>VLOOKUP(Table18[[#This Row],[Dmg]],Mine_Dmg_Table,2)</f>
        <v>0</v>
      </c>
      <c r="U186" s="5">
        <v>0</v>
      </c>
      <c r="V186" s="5">
        <f>VLOOKUP(Table18[[#This Row],[dam-r]]+Table18[[#This Row],[effect-r]],mine_range_table,2)</f>
        <v>6</v>
      </c>
    </row>
    <row r="187" spans="1:31" x14ac:dyDescent="0.25">
      <c r="A187" s="2" t="s">
        <v>224</v>
      </c>
      <c r="B187" s="5" t="s">
        <v>215</v>
      </c>
      <c r="C187" s="5" t="s">
        <v>215</v>
      </c>
      <c r="D187" s="5">
        <f t="shared" si="30"/>
        <v>1</v>
      </c>
      <c r="E187" s="5">
        <v>2</v>
      </c>
      <c r="F187" s="6">
        <v>3</v>
      </c>
      <c r="G187" s="5">
        <v>4</v>
      </c>
      <c r="H187" s="5">
        <v>1000</v>
      </c>
      <c r="I187" s="12">
        <f t="shared" si="31"/>
        <v>500</v>
      </c>
      <c r="J187" s="5">
        <v>120</v>
      </c>
      <c r="K187" s="5">
        <v>30</v>
      </c>
      <c r="L187" s="5">
        <v>1000</v>
      </c>
      <c r="M187" s="5">
        <v>475</v>
      </c>
      <c r="N187" s="6">
        <v>900</v>
      </c>
      <c r="O187" s="3">
        <v>90</v>
      </c>
      <c r="P187" s="65">
        <v>1</v>
      </c>
      <c r="Q187" s="2">
        <v>50</v>
      </c>
      <c r="R187" s="2">
        <v>150</v>
      </c>
      <c r="S187" s="5">
        <f>VLOOKUP(Table18[[#This Row],[Cycle(s)]],Standard_F_Rates,2)</f>
        <v>8</v>
      </c>
      <c r="T187" s="5">
        <f>VLOOKUP(Table18[[#This Row],[Dmg]],Mine_Dmg_Table,2)</f>
        <v>10</v>
      </c>
      <c r="U187" s="5">
        <v>0</v>
      </c>
      <c r="V187" s="5">
        <f>VLOOKUP(Table18[[#This Row],[dam-r]]+Table18[[#This Row],[effect-r]],mine_range_table,2)</f>
        <v>10</v>
      </c>
    </row>
    <row r="188" spans="1:31" x14ac:dyDescent="0.25">
      <c r="A188" s="2" t="s">
        <v>232</v>
      </c>
      <c r="B188" s="27" t="s">
        <v>215</v>
      </c>
      <c r="C188" s="27" t="s">
        <v>215</v>
      </c>
      <c r="D188" s="27">
        <f>IF(LEFT($A188,4) = "Dual",2,IF(LEFT($A188,6) = "Triple",3,1))</f>
        <v>1</v>
      </c>
      <c r="E188" s="5">
        <v>2</v>
      </c>
      <c r="F188" s="6">
        <v>15</v>
      </c>
      <c r="G188" s="5">
        <v>4</v>
      </c>
      <c r="H188" s="27">
        <v>150</v>
      </c>
      <c r="I188" s="33">
        <f>D188*E188/G188*H188</f>
        <v>75</v>
      </c>
      <c r="J188" s="27">
        <v>120</v>
      </c>
      <c r="K188" s="27">
        <v>30</v>
      </c>
      <c r="L188" s="27">
        <v>35</v>
      </c>
      <c r="M188" s="27">
        <v>200</v>
      </c>
      <c r="N188" s="23"/>
      <c r="O188" s="3">
        <v>50</v>
      </c>
      <c r="P188" s="70">
        <v>1</v>
      </c>
      <c r="Q188" s="71" t="s">
        <v>258</v>
      </c>
      <c r="R188" s="2">
        <v>50</v>
      </c>
      <c r="S188" s="28">
        <f>VLOOKUP(Table18[[#This Row],[Cycle(s)]],Standard_F_Rates,2)</f>
        <v>8</v>
      </c>
      <c r="T188" s="28">
        <f>VLOOKUP(Table18[[#This Row],[Dmg]],Mine_Dmg_Table,2)</f>
        <v>1</v>
      </c>
      <c r="U188" s="5">
        <v>0</v>
      </c>
      <c r="V188" s="28">
        <f>VLOOKUP(Table18[[#This Row],[dam-r]]+Table18[[#This Row],[effect-r]],mine_range_table,2)</f>
        <v>5</v>
      </c>
    </row>
    <row r="189" spans="1:31" x14ac:dyDescent="0.25">
      <c r="A189" s="2" t="s">
        <v>233</v>
      </c>
      <c r="B189" s="27" t="s">
        <v>215</v>
      </c>
      <c r="C189" s="27" t="s">
        <v>215</v>
      </c>
      <c r="D189" s="27">
        <f>IF(LEFT($A189,4) = "Dual",2,IF(LEFT($A189,6) = "Triple",3,1))</f>
        <v>1</v>
      </c>
      <c r="E189" s="27">
        <v>2</v>
      </c>
      <c r="F189" s="28">
        <v>18</v>
      </c>
      <c r="G189" s="27">
        <v>4</v>
      </c>
      <c r="H189" s="27">
        <v>300</v>
      </c>
      <c r="I189" s="33">
        <f>D189*E189/G189*H189</f>
        <v>150</v>
      </c>
      <c r="J189" s="27">
        <v>120</v>
      </c>
      <c r="K189" s="27">
        <v>30</v>
      </c>
      <c r="L189" s="27">
        <v>50</v>
      </c>
      <c r="M189" s="27">
        <v>200</v>
      </c>
      <c r="N189" s="23"/>
      <c r="O189" s="3">
        <v>50</v>
      </c>
      <c r="P189" s="70">
        <v>1</v>
      </c>
      <c r="Q189" s="71" t="s">
        <v>258</v>
      </c>
      <c r="R189" s="2">
        <v>75</v>
      </c>
      <c r="S189" s="28">
        <f>VLOOKUP(Table18[[#This Row],[Cycle(s)]],Standard_F_Rates,2)</f>
        <v>8</v>
      </c>
      <c r="T189" s="28">
        <f>VLOOKUP(Table18[[#This Row],[Dmg]],Mine_Dmg_Table,2)</f>
        <v>3</v>
      </c>
      <c r="U189" s="5">
        <v>0</v>
      </c>
      <c r="V189" s="28">
        <f>VLOOKUP(Table18[[#This Row],[dam-r]]+Table18[[#This Row],[effect-r]],mine_range_table,2)</f>
        <v>5</v>
      </c>
    </row>
    <row r="190" spans="1:31" x14ac:dyDescent="0.25">
      <c r="A190" s="2"/>
      <c r="B190" s="27"/>
      <c r="C190" s="27"/>
      <c r="D190" s="27"/>
      <c r="E190" s="27"/>
      <c r="F190" s="28"/>
      <c r="G190" s="27"/>
      <c r="H190" s="27"/>
      <c r="I190" s="33"/>
      <c r="J190" s="27"/>
      <c r="K190" s="27"/>
      <c r="L190" s="27"/>
      <c r="M190" s="27"/>
      <c r="N190" s="23"/>
      <c r="P190" s="72"/>
      <c r="Q190" s="2"/>
      <c r="R190" s="2"/>
      <c r="S190" s="28"/>
      <c r="T190" s="28"/>
      <c r="U190" s="27"/>
      <c r="V190" s="28"/>
    </row>
    <row r="191" spans="1:31" ht="23.25" x14ac:dyDescent="0.35">
      <c r="A191" s="68" t="s">
        <v>246</v>
      </c>
      <c r="M191" s="3"/>
      <c r="N191" s="3"/>
    </row>
    <row r="192" spans="1:31" s="54" customFormat="1" ht="20.25" thickBot="1" x14ac:dyDescent="0.35">
      <c r="A192" s="51" t="s">
        <v>0</v>
      </c>
      <c r="B192" s="51" t="s">
        <v>15</v>
      </c>
      <c r="C192" s="51" t="s">
        <v>64</v>
      </c>
      <c r="D192" s="51" t="s">
        <v>143</v>
      </c>
      <c r="E192" s="51" t="s">
        <v>237</v>
      </c>
      <c r="F192" s="51" t="s">
        <v>185</v>
      </c>
      <c r="G192" s="51" t="s">
        <v>245</v>
      </c>
      <c r="H192" s="51" t="s">
        <v>216</v>
      </c>
      <c r="I192" s="51" t="s">
        <v>225</v>
      </c>
      <c r="J192" s="51" t="s">
        <v>226</v>
      </c>
      <c r="K192" s="51" t="s">
        <v>217</v>
      </c>
      <c r="L192" s="51" t="s">
        <v>220</v>
      </c>
      <c r="M192" s="51" t="s">
        <v>240</v>
      </c>
      <c r="N192" s="51" t="s">
        <v>236</v>
      </c>
      <c r="O192" s="51" t="s">
        <v>235</v>
      </c>
      <c r="P192" s="51" t="s">
        <v>174</v>
      </c>
      <c r="Q192" s="51" t="s">
        <v>241</v>
      </c>
      <c r="R192" s="51" t="s">
        <v>243</v>
      </c>
      <c r="S192" s="51" t="s">
        <v>259</v>
      </c>
      <c r="T192" s="51" t="s">
        <v>166</v>
      </c>
      <c r="U192" s="51" t="s">
        <v>165</v>
      </c>
      <c r="V192" s="51" t="s">
        <v>59</v>
      </c>
      <c r="W192" s="51" t="s">
        <v>275</v>
      </c>
      <c r="X192" s="51" t="s">
        <v>61</v>
      </c>
      <c r="Y192" s="51" t="s">
        <v>187</v>
      </c>
      <c r="Z192" s="51" t="s">
        <v>60</v>
      </c>
      <c r="AA192" s="51" t="s">
        <v>274</v>
      </c>
      <c r="AB192" s="69" t="s">
        <v>277</v>
      </c>
      <c r="AD192" s="51"/>
      <c r="AE192" s="51"/>
    </row>
    <row r="193" spans="1:31" ht="15.75" thickTop="1" x14ac:dyDescent="0.25">
      <c r="A193" s="2" t="s">
        <v>254</v>
      </c>
      <c r="B193" s="5" t="s">
        <v>239</v>
      </c>
      <c r="C193" s="2" t="s">
        <v>72</v>
      </c>
      <c r="D193" s="5">
        <f t="shared" ref="D193:D212" si="32">IF(LEFT($A193,4) = "Dual",2,IF(LEFT($A193,6) = "Triple",3,1))</f>
        <v>2</v>
      </c>
      <c r="E193" s="5">
        <v>6</v>
      </c>
      <c r="F193" s="5">
        <v>24</v>
      </c>
      <c r="G193" s="2">
        <v>20</v>
      </c>
      <c r="H193" s="12">
        <f t="shared" ref="H193:H211" si="33">IF($B193="Warhead",$D193*$E193*$G193,"")</f>
        <v>240</v>
      </c>
      <c r="I193" s="5">
        <f t="shared" ref="I193:I211" si="34">IF($B193="Warhead",$D193*$E193*$G193*1.5,"")</f>
        <v>360</v>
      </c>
      <c r="J193" s="5">
        <f t="shared" ref="J193:J211" si="35">IF($B193="Warhead",$D193*$E193*$G193*2,"")</f>
        <v>480</v>
      </c>
      <c r="K193" s="5">
        <f t="shared" ref="K193:K211" si="36">IF($B193="Warhead",$D193*$E193*$G193*3.5,"")</f>
        <v>840</v>
      </c>
      <c r="L193" s="5">
        <f t="shared" ref="L193:L211" si="37">IF($B193="Warhead",$D193*$E193*$G193*5,"")</f>
        <v>1200</v>
      </c>
      <c r="M193" s="7">
        <f>Table19[[#This Row],[Nuke]]/Table19[[#This Row],[Cycle(s)]]</f>
        <v>10</v>
      </c>
      <c r="N193" s="61">
        <v>270</v>
      </c>
      <c r="O193" s="3">
        <v>16</v>
      </c>
      <c r="P193" s="5">
        <f t="shared" ref="P193:P204" si="38">N193*O193</f>
        <v>4320</v>
      </c>
      <c r="Q193" s="2">
        <v>5</v>
      </c>
      <c r="R193" s="2">
        <v>40</v>
      </c>
      <c r="S193" s="2">
        <v>80</v>
      </c>
      <c r="U193" s="4">
        <v>400</v>
      </c>
      <c r="V193" s="5">
        <f t="shared" ref="V193:V211" si="39">VLOOKUP(F193,Standard_F_Rates,2)</f>
        <v>1</v>
      </c>
      <c r="W193" s="5">
        <f>VLOOKUP(Table19[[#This Row],[dps]],Small_Weapon_Damage_Table,2)</f>
        <v>4</v>
      </c>
      <c r="X193" s="5">
        <f>VLOOKUP(Table19[[#This Row],[dev]],Standard_Accuracy_Table,2)</f>
        <v>10</v>
      </c>
      <c r="Y193" s="5">
        <f t="shared" ref="Y193:Y211" si="40">VLOOKUP(P193,Standard_Range_Table,2)</f>
        <v>10</v>
      </c>
      <c r="Z193" s="5">
        <f t="shared" ref="Z193:Z211" si="41">VLOOKUP(H193,Missile_Damage_Table,2)</f>
        <v>9</v>
      </c>
      <c r="AA193" s="66">
        <f>VLOOKUP(Table19[[#This Row],[Fusion]],Alt_Dmg_Table,2)</f>
        <v>6</v>
      </c>
      <c r="AB193" s="5"/>
      <c r="AD193" s="5"/>
      <c r="AE193" s="5"/>
    </row>
    <row r="194" spans="1:31" x14ac:dyDescent="0.25">
      <c r="A194" s="2" t="s">
        <v>253</v>
      </c>
      <c r="B194" s="5" t="s">
        <v>239</v>
      </c>
      <c r="C194" s="2" t="s">
        <v>72</v>
      </c>
      <c r="D194" s="5">
        <f t="shared" si="32"/>
        <v>2</v>
      </c>
      <c r="E194" s="5">
        <v>1</v>
      </c>
      <c r="F194" s="5">
        <v>24</v>
      </c>
      <c r="G194" s="2">
        <v>120</v>
      </c>
      <c r="H194" s="12">
        <f t="shared" si="33"/>
        <v>240</v>
      </c>
      <c r="I194" s="5">
        <f t="shared" si="34"/>
        <v>360</v>
      </c>
      <c r="J194" s="5">
        <f t="shared" si="35"/>
        <v>480</v>
      </c>
      <c r="K194" s="5">
        <f t="shared" si="36"/>
        <v>840</v>
      </c>
      <c r="L194" s="5">
        <f t="shared" si="37"/>
        <v>1200</v>
      </c>
      <c r="M194" s="7">
        <f>Table19[[#This Row],[Nuke]]/Table19[[#This Row],[Cycle(s)]]</f>
        <v>10</v>
      </c>
      <c r="N194" s="61">
        <v>320</v>
      </c>
      <c r="O194" s="3">
        <v>20</v>
      </c>
      <c r="P194" s="5">
        <f t="shared" si="38"/>
        <v>6400</v>
      </c>
      <c r="Q194" s="2">
        <v>2.5</v>
      </c>
      <c r="R194" s="2">
        <v>40</v>
      </c>
      <c r="S194" s="2">
        <v>80</v>
      </c>
      <c r="U194" s="4">
        <v>320</v>
      </c>
      <c r="V194" s="5">
        <f t="shared" si="39"/>
        <v>1</v>
      </c>
      <c r="W194" s="5">
        <f>VLOOKUP(Table19[[#This Row],[dps]],Small_Weapon_Damage_Table,2)</f>
        <v>4</v>
      </c>
      <c r="X194" s="5">
        <f>VLOOKUP(Table19[[#This Row],[dev]],Standard_Accuracy_Table,2)</f>
        <v>10</v>
      </c>
      <c r="Y194" s="5">
        <f t="shared" si="40"/>
        <v>10</v>
      </c>
      <c r="Z194" s="5">
        <f t="shared" si="41"/>
        <v>9</v>
      </c>
      <c r="AA194" s="66">
        <f>VLOOKUP(Table19[[#This Row],[Fusion]],Alt_Dmg_Table,2)</f>
        <v>6</v>
      </c>
      <c r="AB194" s="5"/>
      <c r="AD194" s="10"/>
      <c r="AE194" s="10"/>
    </row>
    <row r="195" spans="1:31" x14ac:dyDescent="0.25">
      <c r="A195" s="5" t="s">
        <v>262</v>
      </c>
      <c r="B195" s="5" t="s">
        <v>239</v>
      </c>
      <c r="C195" s="5" t="s">
        <v>49</v>
      </c>
      <c r="D195" s="5">
        <f t="shared" si="32"/>
        <v>2</v>
      </c>
      <c r="E195" s="5">
        <v>1</v>
      </c>
      <c r="F195" s="5">
        <v>12</v>
      </c>
      <c r="G195" s="3">
        <v>120</v>
      </c>
      <c r="H195" s="12">
        <f t="shared" si="33"/>
        <v>240</v>
      </c>
      <c r="I195" s="5">
        <f t="shared" si="34"/>
        <v>360</v>
      </c>
      <c r="J195" s="5">
        <f t="shared" si="35"/>
        <v>480</v>
      </c>
      <c r="K195" s="5">
        <f t="shared" si="36"/>
        <v>840</v>
      </c>
      <c r="L195" s="5">
        <f t="shared" si="37"/>
        <v>1200</v>
      </c>
      <c r="M195" s="7">
        <f>Table19[[#This Row],[Nuke]]/Table19[[#This Row],[Cycle(s)]]</f>
        <v>20</v>
      </c>
      <c r="N195" s="3">
        <v>360</v>
      </c>
      <c r="O195" s="3">
        <v>20</v>
      </c>
      <c r="P195" s="5">
        <f t="shared" si="38"/>
        <v>7200</v>
      </c>
      <c r="Q195" s="3">
        <v>4</v>
      </c>
      <c r="R195" s="3">
        <v>60</v>
      </c>
      <c r="S195" s="3">
        <v>120</v>
      </c>
      <c r="T195" s="5">
        <v>125</v>
      </c>
      <c r="U195" s="12">
        <v>300</v>
      </c>
      <c r="V195" s="5">
        <f t="shared" si="39"/>
        <v>3</v>
      </c>
      <c r="W195" s="5">
        <f>VLOOKUP(Table19[[#This Row],[dps]],Small_Weapon_Damage_Table,2)</f>
        <v>6</v>
      </c>
      <c r="X195" s="5">
        <f>VLOOKUP(Table19[[#This Row],[dev]],Standard_Accuracy_Table,2)</f>
        <v>10</v>
      </c>
      <c r="Y195" s="5">
        <f t="shared" si="40"/>
        <v>10</v>
      </c>
      <c r="Z195" s="5">
        <f t="shared" si="41"/>
        <v>9</v>
      </c>
      <c r="AA195" s="5">
        <f>VLOOKUP(Table19[[#This Row],[Fusion]],Alt_Dmg_Table,2)</f>
        <v>6</v>
      </c>
      <c r="AB195" s="5"/>
      <c r="AD195" s="10"/>
      <c r="AE195" s="10"/>
    </row>
    <row r="196" spans="1:31" x14ac:dyDescent="0.25">
      <c r="A196" s="2" t="s">
        <v>251</v>
      </c>
      <c r="B196" s="5" t="s">
        <v>239</v>
      </c>
      <c r="C196" s="2" t="s">
        <v>72</v>
      </c>
      <c r="D196" s="5">
        <f t="shared" si="32"/>
        <v>2</v>
      </c>
      <c r="E196" s="5">
        <v>6</v>
      </c>
      <c r="F196" s="5">
        <v>32</v>
      </c>
      <c r="G196" s="3">
        <v>20</v>
      </c>
      <c r="H196" s="12">
        <f t="shared" si="33"/>
        <v>240</v>
      </c>
      <c r="I196" s="5">
        <f t="shared" si="34"/>
        <v>360</v>
      </c>
      <c r="J196" s="5">
        <f t="shared" si="35"/>
        <v>480</v>
      </c>
      <c r="K196" s="5">
        <f t="shared" si="36"/>
        <v>840</v>
      </c>
      <c r="L196" s="5">
        <f t="shared" si="37"/>
        <v>1200</v>
      </c>
      <c r="M196" s="7">
        <f>Table19[[#This Row],[Nuke]]/Table19[[#This Row],[Cycle(s)]]</f>
        <v>7.5</v>
      </c>
      <c r="N196" s="23">
        <v>160</v>
      </c>
      <c r="O196" s="3">
        <v>40</v>
      </c>
      <c r="P196" s="5">
        <f t="shared" si="38"/>
        <v>6400</v>
      </c>
      <c r="Q196" s="3">
        <v>2.5</v>
      </c>
      <c r="R196" s="2">
        <v>50</v>
      </c>
      <c r="S196" s="3">
        <v>100</v>
      </c>
      <c r="T196" s="2"/>
      <c r="U196" s="4">
        <v>300</v>
      </c>
      <c r="V196" s="5">
        <f t="shared" si="39"/>
        <v>1</v>
      </c>
      <c r="W196" s="5">
        <f>VLOOKUP(Table19[[#This Row],[dps]],Small_Weapon_Damage_Table,2)</f>
        <v>3</v>
      </c>
      <c r="X196" s="5">
        <f>VLOOKUP(Table19[[#This Row],[dev]],Standard_Accuracy_Table,2)</f>
        <v>10</v>
      </c>
      <c r="Y196" s="5">
        <f t="shared" si="40"/>
        <v>10</v>
      </c>
      <c r="Z196" s="5">
        <f t="shared" si="41"/>
        <v>9</v>
      </c>
      <c r="AA196" s="66">
        <f>VLOOKUP(Table19[[#This Row],[Fusion]],Alt_Dmg_Table,2)</f>
        <v>6</v>
      </c>
      <c r="AB196" s="5"/>
      <c r="AD196" s="5"/>
      <c r="AE196" s="5"/>
    </row>
    <row r="197" spans="1:31" x14ac:dyDescent="0.25">
      <c r="A197" s="2" t="s">
        <v>250</v>
      </c>
      <c r="B197" s="5" t="s">
        <v>239</v>
      </c>
      <c r="C197" s="3" t="s">
        <v>72</v>
      </c>
      <c r="D197" s="5">
        <f t="shared" si="32"/>
        <v>2</v>
      </c>
      <c r="E197" s="5">
        <v>1</v>
      </c>
      <c r="F197" s="5">
        <v>32</v>
      </c>
      <c r="G197" s="3">
        <v>120</v>
      </c>
      <c r="H197" s="12">
        <f t="shared" si="33"/>
        <v>240</v>
      </c>
      <c r="I197" s="5">
        <f t="shared" si="34"/>
        <v>360</v>
      </c>
      <c r="J197" s="5">
        <f t="shared" si="35"/>
        <v>480</v>
      </c>
      <c r="K197" s="5">
        <f t="shared" si="36"/>
        <v>840</v>
      </c>
      <c r="L197" s="5">
        <f t="shared" si="37"/>
        <v>1200</v>
      </c>
      <c r="M197" s="7">
        <f>Table19[[#This Row],[Nuke]]/Table19[[#This Row],[Cycle(s)]]</f>
        <v>7.5</v>
      </c>
      <c r="N197" s="23">
        <v>160</v>
      </c>
      <c r="O197" s="3">
        <v>50</v>
      </c>
      <c r="P197" s="5">
        <f t="shared" si="38"/>
        <v>8000</v>
      </c>
      <c r="Q197" s="3">
        <v>2.5</v>
      </c>
      <c r="R197" s="2">
        <v>50</v>
      </c>
      <c r="S197" s="3">
        <v>100</v>
      </c>
      <c r="T197" s="2"/>
      <c r="U197" s="4">
        <v>240</v>
      </c>
      <c r="V197" s="5">
        <f t="shared" si="39"/>
        <v>1</v>
      </c>
      <c r="W197" s="5">
        <f>VLOOKUP(Table19[[#This Row],[dps]],Small_Weapon_Damage_Table,2)</f>
        <v>3</v>
      </c>
      <c r="X197" s="5">
        <f>VLOOKUP(Table19[[#This Row],[dev]],Standard_Accuracy_Table,2)</f>
        <v>10</v>
      </c>
      <c r="Y197" s="5">
        <f t="shared" si="40"/>
        <v>10</v>
      </c>
      <c r="Z197" s="5">
        <f t="shared" si="41"/>
        <v>9</v>
      </c>
      <c r="AA197" s="66">
        <f>VLOOKUP(Table19[[#This Row],[Fusion]],Alt_Dmg_Table,2)</f>
        <v>6</v>
      </c>
      <c r="AB197" s="5"/>
      <c r="AD197" s="5"/>
      <c r="AE197" s="5"/>
    </row>
    <row r="198" spans="1:31" x14ac:dyDescent="0.25">
      <c r="A198" s="5" t="s">
        <v>257</v>
      </c>
      <c r="B198" s="5" t="s">
        <v>239</v>
      </c>
      <c r="C198" s="5" t="s">
        <v>49</v>
      </c>
      <c r="D198" s="5">
        <f t="shared" si="32"/>
        <v>2</v>
      </c>
      <c r="E198" s="5">
        <v>1</v>
      </c>
      <c r="F198" s="5">
        <v>16</v>
      </c>
      <c r="G198" s="3">
        <v>150</v>
      </c>
      <c r="H198" s="12">
        <f t="shared" si="33"/>
        <v>300</v>
      </c>
      <c r="I198" s="5">
        <f t="shared" si="34"/>
        <v>450</v>
      </c>
      <c r="J198" s="5">
        <f t="shared" si="35"/>
        <v>600</v>
      </c>
      <c r="K198" s="5">
        <f t="shared" si="36"/>
        <v>1050</v>
      </c>
      <c r="L198" s="5">
        <f t="shared" si="37"/>
        <v>1500</v>
      </c>
      <c r="M198" s="7">
        <f>Table19[[#This Row],[Nuke]]/Table19[[#This Row],[Cycle(s)]]</f>
        <v>18.75</v>
      </c>
      <c r="N198" s="3">
        <v>180</v>
      </c>
      <c r="O198" s="3">
        <v>50</v>
      </c>
      <c r="P198" s="5">
        <f t="shared" si="38"/>
        <v>9000</v>
      </c>
      <c r="Q198" s="3">
        <v>2</v>
      </c>
      <c r="R198" s="3">
        <v>75</v>
      </c>
      <c r="S198" s="3">
        <v>150</v>
      </c>
      <c r="T198" s="5">
        <v>125</v>
      </c>
      <c r="U198" s="12">
        <v>200</v>
      </c>
      <c r="V198" s="5">
        <f t="shared" si="39"/>
        <v>2</v>
      </c>
      <c r="W198" s="5">
        <f>VLOOKUP(Table19[[#This Row],[dps]],Small_Weapon_Damage_Table,2)</f>
        <v>5</v>
      </c>
      <c r="X198" s="5">
        <f>VLOOKUP(Table19[[#This Row],[dev]],Standard_Accuracy_Table,2)</f>
        <v>10</v>
      </c>
      <c r="Y198" s="5">
        <f t="shared" si="40"/>
        <v>10</v>
      </c>
      <c r="Z198" s="5">
        <f t="shared" si="41"/>
        <v>10</v>
      </c>
      <c r="AA198" s="5">
        <f>VLOOKUP(Table19[[#This Row],[Fusion]],Alt_Dmg_Table,2)</f>
        <v>7</v>
      </c>
      <c r="AB198" s="5"/>
      <c r="AD198" s="10"/>
      <c r="AE198" s="10"/>
    </row>
    <row r="199" spans="1:31" x14ac:dyDescent="0.25">
      <c r="A199" s="2" t="s">
        <v>231</v>
      </c>
      <c r="B199" s="5" t="s">
        <v>239</v>
      </c>
      <c r="C199" s="2" t="s">
        <v>72</v>
      </c>
      <c r="D199" s="5">
        <f t="shared" si="32"/>
        <v>1</v>
      </c>
      <c r="E199" s="5">
        <v>6</v>
      </c>
      <c r="F199" s="5">
        <v>24</v>
      </c>
      <c r="G199" s="2">
        <v>20</v>
      </c>
      <c r="H199" s="12">
        <f t="shared" si="33"/>
        <v>120</v>
      </c>
      <c r="I199" s="5">
        <f t="shared" si="34"/>
        <v>180</v>
      </c>
      <c r="J199" s="5">
        <f t="shared" si="35"/>
        <v>240</v>
      </c>
      <c r="K199" s="5">
        <f t="shared" si="36"/>
        <v>420</v>
      </c>
      <c r="L199" s="5">
        <f t="shared" si="37"/>
        <v>600</v>
      </c>
      <c r="M199" s="7">
        <f>Table19[[#This Row],[Nuke]]/Table19[[#This Row],[Cycle(s)]]</f>
        <v>5</v>
      </c>
      <c r="N199" s="61">
        <v>270</v>
      </c>
      <c r="O199" s="3">
        <v>16</v>
      </c>
      <c r="P199" s="5">
        <f t="shared" si="38"/>
        <v>4320</v>
      </c>
      <c r="Q199" s="2">
        <v>5</v>
      </c>
      <c r="R199" s="2">
        <v>40</v>
      </c>
      <c r="S199" s="2">
        <v>80</v>
      </c>
      <c r="U199" s="4">
        <v>200</v>
      </c>
      <c r="V199" s="5">
        <f t="shared" si="39"/>
        <v>1</v>
      </c>
      <c r="W199" s="5">
        <f>VLOOKUP(Table19[[#This Row],[dps]],Small_Weapon_Damage_Table,2)</f>
        <v>2</v>
      </c>
      <c r="X199" s="5">
        <f>VLOOKUP(Table19[[#This Row],[dev]],Standard_Accuracy_Table,2)</f>
        <v>10</v>
      </c>
      <c r="Y199" s="5">
        <f t="shared" si="40"/>
        <v>10</v>
      </c>
      <c r="Z199" s="5">
        <f t="shared" si="41"/>
        <v>4</v>
      </c>
      <c r="AA199" s="66">
        <f>VLOOKUP(Table19[[#This Row],[Fusion]],Alt_Dmg_Table,2)</f>
        <v>4</v>
      </c>
      <c r="AB199" s="5"/>
      <c r="AD199" s="10"/>
      <c r="AE199" s="10"/>
    </row>
    <row r="200" spans="1:31" x14ac:dyDescent="0.25">
      <c r="A200" s="2" t="s">
        <v>252</v>
      </c>
      <c r="B200" s="5" t="s">
        <v>239</v>
      </c>
      <c r="C200" s="2" t="s">
        <v>55</v>
      </c>
      <c r="D200" s="5">
        <f t="shared" si="32"/>
        <v>2</v>
      </c>
      <c r="E200" s="5">
        <v>1</v>
      </c>
      <c r="F200" s="5">
        <v>24</v>
      </c>
      <c r="G200" s="2">
        <v>40</v>
      </c>
      <c r="H200" s="12">
        <f t="shared" si="33"/>
        <v>80</v>
      </c>
      <c r="I200" s="5">
        <f t="shared" si="34"/>
        <v>120</v>
      </c>
      <c r="J200" s="5">
        <f t="shared" si="35"/>
        <v>160</v>
      </c>
      <c r="K200" s="5">
        <f t="shared" si="36"/>
        <v>280</v>
      </c>
      <c r="L200" s="5">
        <f t="shared" si="37"/>
        <v>400</v>
      </c>
      <c r="M200" s="7">
        <f>Table19[[#This Row],[Nuke]]/Table19[[#This Row],[Cycle(s)]]</f>
        <v>3.3333333333333335</v>
      </c>
      <c r="N200" s="61">
        <v>270</v>
      </c>
      <c r="O200" s="3">
        <v>12</v>
      </c>
      <c r="P200" s="5">
        <f t="shared" si="38"/>
        <v>3240</v>
      </c>
      <c r="Q200" s="2">
        <v>4</v>
      </c>
      <c r="R200" s="2">
        <v>8</v>
      </c>
      <c r="S200" s="3">
        <v>40</v>
      </c>
      <c r="U200" s="4">
        <v>200</v>
      </c>
      <c r="V200" s="5">
        <f t="shared" si="39"/>
        <v>1</v>
      </c>
      <c r="W200" s="5">
        <f>VLOOKUP(Table19[[#This Row],[dps]],Small_Weapon_Damage_Table,2)</f>
        <v>1</v>
      </c>
      <c r="X200" s="5">
        <f>VLOOKUP(Table19[[#This Row],[dev]],Standard_Accuracy_Table,2)</f>
        <v>10</v>
      </c>
      <c r="Y200" s="5">
        <f t="shared" si="40"/>
        <v>10</v>
      </c>
      <c r="Z200" s="5">
        <f t="shared" si="41"/>
        <v>2</v>
      </c>
      <c r="AA200" s="66">
        <f>VLOOKUP(Table19[[#This Row],[Fusion]],Alt_Dmg_Table,2)</f>
        <v>2</v>
      </c>
      <c r="AB200" s="5"/>
      <c r="AD200" s="10"/>
      <c r="AE200" s="10"/>
    </row>
    <row r="201" spans="1:31" x14ac:dyDescent="0.25">
      <c r="A201" s="2" t="s">
        <v>230</v>
      </c>
      <c r="B201" s="5" t="s">
        <v>239</v>
      </c>
      <c r="C201" s="2" t="s">
        <v>72</v>
      </c>
      <c r="D201" s="5">
        <f t="shared" si="32"/>
        <v>1</v>
      </c>
      <c r="E201" s="5">
        <v>1</v>
      </c>
      <c r="F201" s="5">
        <v>24</v>
      </c>
      <c r="G201" s="2">
        <v>120</v>
      </c>
      <c r="H201" s="12">
        <f t="shared" si="33"/>
        <v>120</v>
      </c>
      <c r="I201" s="5">
        <f t="shared" si="34"/>
        <v>180</v>
      </c>
      <c r="J201" s="5">
        <f t="shared" si="35"/>
        <v>240</v>
      </c>
      <c r="K201" s="5">
        <f t="shared" si="36"/>
        <v>420</v>
      </c>
      <c r="L201" s="5">
        <f t="shared" si="37"/>
        <v>600</v>
      </c>
      <c r="M201" s="7">
        <f>Table19[[#This Row],[Nuke]]/Table19[[#This Row],[Cycle(s)]]</f>
        <v>5</v>
      </c>
      <c r="N201" s="61">
        <v>320</v>
      </c>
      <c r="O201" s="3">
        <v>20</v>
      </c>
      <c r="P201" s="5">
        <f t="shared" si="38"/>
        <v>6400</v>
      </c>
      <c r="Q201" s="2">
        <v>5</v>
      </c>
      <c r="R201" s="2">
        <v>40</v>
      </c>
      <c r="S201" s="2">
        <v>80</v>
      </c>
      <c r="U201" s="4">
        <v>160</v>
      </c>
      <c r="V201" s="5">
        <f t="shared" si="39"/>
        <v>1</v>
      </c>
      <c r="W201" s="5">
        <f>VLOOKUP(Table19[[#This Row],[dps]],Small_Weapon_Damage_Table,2)</f>
        <v>2</v>
      </c>
      <c r="X201" s="5">
        <f>VLOOKUP(Table19[[#This Row],[dev]],Standard_Accuracy_Table,2)</f>
        <v>10</v>
      </c>
      <c r="Y201" s="5">
        <f t="shared" si="40"/>
        <v>10</v>
      </c>
      <c r="Z201" s="5">
        <f t="shared" si="41"/>
        <v>4</v>
      </c>
      <c r="AA201" s="66">
        <f>VLOOKUP(Table19[[#This Row],[Fusion]],Alt_Dmg_Table,2)</f>
        <v>4</v>
      </c>
      <c r="AB201" s="5"/>
      <c r="AD201" s="10"/>
      <c r="AE201" s="10"/>
    </row>
    <row r="202" spans="1:31" x14ac:dyDescent="0.25">
      <c r="A202" s="2" t="s">
        <v>229</v>
      </c>
      <c r="B202" s="5" t="s">
        <v>239</v>
      </c>
      <c r="C202" s="2" t="s">
        <v>72</v>
      </c>
      <c r="D202" s="5">
        <f t="shared" si="32"/>
        <v>1</v>
      </c>
      <c r="E202" s="5">
        <v>5</v>
      </c>
      <c r="F202" s="5">
        <v>32</v>
      </c>
      <c r="G202" s="3">
        <v>20</v>
      </c>
      <c r="H202" s="12">
        <f t="shared" si="33"/>
        <v>100</v>
      </c>
      <c r="I202" s="5">
        <f t="shared" si="34"/>
        <v>150</v>
      </c>
      <c r="J202" s="5">
        <f t="shared" si="35"/>
        <v>200</v>
      </c>
      <c r="K202" s="5">
        <f t="shared" si="36"/>
        <v>350</v>
      </c>
      <c r="L202" s="5">
        <f t="shared" si="37"/>
        <v>500</v>
      </c>
      <c r="M202" s="7">
        <f>Table19[[#This Row],[Nuke]]/Table19[[#This Row],[Cycle(s)]]</f>
        <v>3.125</v>
      </c>
      <c r="N202" s="23">
        <v>160</v>
      </c>
      <c r="O202" s="3">
        <v>40</v>
      </c>
      <c r="P202" s="5">
        <f t="shared" si="38"/>
        <v>6400</v>
      </c>
      <c r="Q202" s="3">
        <v>2.5</v>
      </c>
      <c r="R202" s="2">
        <v>50</v>
      </c>
      <c r="S202" s="3">
        <v>100</v>
      </c>
      <c r="T202" s="2">
        <v>125</v>
      </c>
      <c r="U202" s="4">
        <v>150</v>
      </c>
      <c r="V202" s="5">
        <f t="shared" si="39"/>
        <v>1</v>
      </c>
      <c r="W202" s="5">
        <f>VLOOKUP(Table19[[#This Row],[dps]],Small_Weapon_Damage_Table,2)</f>
        <v>1</v>
      </c>
      <c r="X202" s="5">
        <f>VLOOKUP(Table19[[#This Row],[dev]],Standard_Accuracy_Table,2)</f>
        <v>10</v>
      </c>
      <c r="Y202" s="5">
        <f t="shared" si="40"/>
        <v>10</v>
      </c>
      <c r="Z202" s="5">
        <f t="shared" si="41"/>
        <v>3</v>
      </c>
      <c r="AA202" s="66">
        <f>VLOOKUP(Table19[[#This Row],[Fusion]],Alt_Dmg_Table,2)</f>
        <v>3</v>
      </c>
      <c r="AB202" s="5"/>
      <c r="AD202" s="5"/>
      <c r="AE202" s="5"/>
    </row>
    <row r="203" spans="1:31" x14ac:dyDescent="0.25">
      <c r="A203" s="2" t="s">
        <v>228</v>
      </c>
      <c r="B203" s="5" t="s">
        <v>239</v>
      </c>
      <c r="C203" s="3" t="s">
        <v>72</v>
      </c>
      <c r="D203" s="5">
        <f t="shared" si="32"/>
        <v>1</v>
      </c>
      <c r="E203" s="5">
        <v>1</v>
      </c>
      <c r="F203" s="5">
        <v>32</v>
      </c>
      <c r="G203" s="3">
        <v>100</v>
      </c>
      <c r="H203" s="12">
        <f t="shared" si="33"/>
        <v>100</v>
      </c>
      <c r="I203" s="5">
        <f t="shared" si="34"/>
        <v>150</v>
      </c>
      <c r="J203" s="5">
        <f t="shared" si="35"/>
        <v>200</v>
      </c>
      <c r="K203" s="5">
        <f t="shared" si="36"/>
        <v>350</v>
      </c>
      <c r="L203" s="5">
        <f t="shared" si="37"/>
        <v>500</v>
      </c>
      <c r="M203" s="7">
        <f>Table19[[#This Row],[Nuke]]/Table19[[#This Row],[Cycle(s)]]</f>
        <v>3.125</v>
      </c>
      <c r="N203" s="23">
        <v>160</v>
      </c>
      <c r="O203" s="3">
        <v>50</v>
      </c>
      <c r="P203" s="5">
        <f t="shared" si="38"/>
        <v>8000</v>
      </c>
      <c r="Q203" s="3">
        <v>2.5</v>
      </c>
      <c r="R203" s="2">
        <v>50</v>
      </c>
      <c r="S203" s="3">
        <v>100</v>
      </c>
      <c r="T203" s="2">
        <v>150</v>
      </c>
      <c r="U203" s="4">
        <v>120</v>
      </c>
      <c r="V203" s="5">
        <f t="shared" si="39"/>
        <v>1</v>
      </c>
      <c r="W203" s="5">
        <f>VLOOKUP(Table19[[#This Row],[dps]],Small_Weapon_Damage_Table,2)</f>
        <v>1</v>
      </c>
      <c r="X203" s="5">
        <f>VLOOKUP(Table19[[#This Row],[dev]],Standard_Accuracy_Table,2)</f>
        <v>10</v>
      </c>
      <c r="Y203" s="5">
        <f t="shared" si="40"/>
        <v>10</v>
      </c>
      <c r="Z203" s="5">
        <f t="shared" si="41"/>
        <v>3</v>
      </c>
      <c r="AA203" s="66">
        <f>VLOOKUP(Table19[[#This Row],[Fusion]],Alt_Dmg_Table,2)</f>
        <v>3</v>
      </c>
      <c r="AB203" s="5"/>
      <c r="AD203" s="10"/>
      <c r="AE203" s="10"/>
    </row>
    <row r="204" spans="1:31" x14ac:dyDescent="0.25">
      <c r="A204" s="5" t="s">
        <v>249</v>
      </c>
      <c r="B204" s="5" t="s">
        <v>239</v>
      </c>
      <c r="C204" s="5" t="s">
        <v>55</v>
      </c>
      <c r="D204" s="5">
        <f t="shared" si="32"/>
        <v>2</v>
      </c>
      <c r="E204" s="5">
        <v>1</v>
      </c>
      <c r="F204" s="5">
        <v>32</v>
      </c>
      <c r="G204" s="3">
        <v>40</v>
      </c>
      <c r="H204" s="12">
        <f t="shared" si="33"/>
        <v>80</v>
      </c>
      <c r="I204" s="5">
        <f t="shared" si="34"/>
        <v>120</v>
      </c>
      <c r="J204" s="5">
        <f t="shared" si="35"/>
        <v>160</v>
      </c>
      <c r="K204" s="5">
        <f t="shared" si="36"/>
        <v>280</v>
      </c>
      <c r="L204" s="5">
        <f t="shared" si="37"/>
        <v>400</v>
      </c>
      <c r="M204" s="7">
        <f>Table19[[#This Row],[Nuke]]/Table19[[#This Row],[Cycle(s)]]</f>
        <v>2.5</v>
      </c>
      <c r="N204" s="3">
        <v>160</v>
      </c>
      <c r="O204" s="3">
        <v>30</v>
      </c>
      <c r="P204" s="5">
        <f t="shared" si="38"/>
        <v>4800</v>
      </c>
      <c r="Q204" s="3">
        <v>4</v>
      </c>
      <c r="R204" s="3">
        <v>10</v>
      </c>
      <c r="S204" s="3">
        <v>50</v>
      </c>
      <c r="T204" s="5"/>
      <c r="U204" s="12">
        <v>120</v>
      </c>
      <c r="V204" s="5">
        <f t="shared" si="39"/>
        <v>1</v>
      </c>
      <c r="W204" s="5">
        <f>VLOOKUP(Table19[[#This Row],[dps]],Small_Weapon_Damage_Table,2)</f>
        <v>1</v>
      </c>
      <c r="X204" s="5">
        <f>VLOOKUP(Table19[[#This Row],[dev]],Standard_Accuracy_Table,2)</f>
        <v>10</v>
      </c>
      <c r="Y204" s="5">
        <f t="shared" si="40"/>
        <v>10</v>
      </c>
      <c r="Z204" s="5">
        <f t="shared" si="41"/>
        <v>2</v>
      </c>
      <c r="AA204" s="5">
        <f>VLOOKUP(Table19[[#This Row],[Fusion]],Alt_Dmg_Table,2)</f>
        <v>2</v>
      </c>
      <c r="AB204" s="5"/>
      <c r="AD204" s="10"/>
      <c r="AE204" s="10"/>
    </row>
    <row r="205" spans="1:31" x14ac:dyDescent="0.25">
      <c r="A205" s="2" t="s">
        <v>255</v>
      </c>
      <c r="B205" s="5" t="s">
        <v>239</v>
      </c>
      <c r="C205" s="2" t="s">
        <v>55</v>
      </c>
      <c r="D205" s="5">
        <f t="shared" si="32"/>
        <v>2</v>
      </c>
      <c r="E205" s="5">
        <v>10</v>
      </c>
      <c r="F205" s="5">
        <v>15</v>
      </c>
      <c r="G205" s="2">
        <v>10</v>
      </c>
      <c r="H205" s="12">
        <f t="shared" si="33"/>
        <v>200</v>
      </c>
      <c r="I205" s="5">
        <f t="shared" si="34"/>
        <v>300</v>
      </c>
      <c r="J205" s="5">
        <f t="shared" si="35"/>
        <v>400</v>
      </c>
      <c r="K205" s="5">
        <f t="shared" si="36"/>
        <v>700</v>
      </c>
      <c r="L205" s="5">
        <f t="shared" si="37"/>
        <v>1000</v>
      </c>
      <c r="M205" s="7">
        <f>Table19[[#This Row],[Nuke]]/Table19[[#This Row],[Cycle(s)]]</f>
        <v>13.333333333333334</v>
      </c>
      <c r="N205" s="61">
        <v>250</v>
      </c>
      <c r="O205" s="63" t="s">
        <v>258</v>
      </c>
      <c r="P205" s="5">
        <v>900</v>
      </c>
      <c r="Q205" s="63" t="s">
        <v>258</v>
      </c>
      <c r="R205" s="63" t="s">
        <v>258</v>
      </c>
      <c r="S205" s="3">
        <v>25</v>
      </c>
      <c r="U205" s="4">
        <v>120</v>
      </c>
      <c r="V205" s="5">
        <f t="shared" si="39"/>
        <v>2</v>
      </c>
      <c r="W205" s="5">
        <f>VLOOKUP(Table19[[#This Row],[dps]],Small_Weapon_Damage_Table,2)</f>
        <v>4</v>
      </c>
      <c r="X205" s="5">
        <f>VLOOKUP(Table19[[#This Row],[dev]],Standard_Accuracy_Table,2)</f>
        <v>4</v>
      </c>
      <c r="Y205" s="5">
        <f t="shared" si="40"/>
        <v>4</v>
      </c>
      <c r="Z205" s="5">
        <f t="shared" si="41"/>
        <v>8</v>
      </c>
      <c r="AA205" s="66">
        <f>VLOOKUP(Table19[[#This Row],[Fusion]],Alt_Dmg_Table,2)</f>
        <v>5</v>
      </c>
      <c r="AB205" s="5">
        <v>3</v>
      </c>
      <c r="AD205" s="10"/>
      <c r="AE205" s="10"/>
    </row>
    <row r="206" spans="1:31" x14ac:dyDescent="0.25">
      <c r="A206" s="2" t="s">
        <v>238</v>
      </c>
      <c r="B206" s="5" t="s">
        <v>239</v>
      </c>
      <c r="C206" s="2" t="s">
        <v>55</v>
      </c>
      <c r="D206" s="5">
        <f t="shared" si="32"/>
        <v>1</v>
      </c>
      <c r="E206" s="5">
        <v>1</v>
      </c>
      <c r="F206" s="5">
        <v>24</v>
      </c>
      <c r="G206" s="2">
        <v>40</v>
      </c>
      <c r="H206" s="12">
        <f t="shared" si="33"/>
        <v>40</v>
      </c>
      <c r="I206" s="5">
        <f t="shared" si="34"/>
        <v>60</v>
      </c>
      <c r="J206" s="5">
        <f t="shared" si="35"/>
        <v>80</v>
      </c>
      <c r="K206" s="5">
        <f t="shared" si="36"/>
        <v>140</v>
      </c>
      <c r="L206" s="5">
        <f t="shared" si="37"/>
        <v>200</v>
      </c>
      <c r="M206" s="7">
        <f>Table19[[#This Row],[Nuke]]/Table19[[#This Row],[Cycle(s)]]</f>
        <v>1.6666666666666667</v>
      </c>
      <c r="N206" s="61">
        <v>270</v>
      </c>
      <c r="O206" s="3">
        <v>12</v>
      </c>
      <c r="P206" s="5">
        <f>N206*O206</f>
        <v>3240</v>
      </c>
      <c r="Q206" s="2">
        <v>8</v>
      </c>
      <c r="R206" s="2">
        <v>8</v>
      </c>
      <c r="S206" s="3">
        <v>40</v>
      </c>
      <c r="U206" s="4">
        <v>100</v>
      </c>
      <c r="V206" s="5">
        <f t="shared" si="39"/>
        <v>1</v>
      </c>
      <c r="W206" s="5">
        <f>VLOOKUP(Table19[[#This Row],[dps]],Small_Weapon_Damage_Table,2)</f>
        <v>1</v>
      </c>
      <c r="X206" s="5">
        <f>VLOOKUP(Table19[[#This Row],[dev]],Standard_Accuracy_Table,2)</f>
        <v>10</v>
      </c>
      <c r="Y206" s="5">
        <f t="shared" si="40"/>
        <v>10</v>
      </c>
      <c r="Z206" s="5">
        <f t="shared" si="41"/>
        <v>1</v>
      </c>
      <c r="AA206" s="66">
        <f>VLOOKUP(Table19[[#This Row],[Fusion]],Alt_Dmg_Table,2)</f>
        <v>1</v>
      </c>
      <c r="AB206" s="5"/>
      <c r="AD206" s="10"/>
      <c r="AE206" s="10"/>
    </row>
    <row r="207" spans="1:31" s="2" customFormat="1" x14ac:dyDescent="0.25">
      <c r="A207" s="5" t="s">
        <v>227</v>
      </c>
      <c r="B207" s="5" t="s">
        <v>239</v>
      </c>
      <c r="C207" s="5" t="s">
        <v>55</v>
      </c>
      <c r="D207" s="5">
        <f t="shared" si="32"/>
        <v>1</v>
      </c>
      <c r="E207" s="5">
        <v>1</v>
      </c>
      <c r="F207" s="5">
        <v>32</v>
      </c>
      <c r="G207" s="2">
        <v>50</v>
      </c>
      <c r="H207" s="12">
        <f t="shared" si="33"/>
        <v>50</v>
      </c>
      <c r="I207" s="5">
        <f t="shared" si="34"/>
        <v>75</v>
      </c>
      <c r="J207" s="5">
        <f t="shared" si="35"/>
        <v>100</v>
      </c>
      <c r="K207" s="5">
        <f t="shared" si="36"/>
        <v>175</v>
      </c>
      <c r="L207" s="5">
        <f t="shared" si="37"/>
        <v>250</v>
      </c>
      <c r="M207" s="7">
        <f>Table19[[#This Row],[Nuke]]/Table19[[#This Row],[Cycle(s)]]</f>
        <v>1.5625</v>
      </c>
      <c r="N207" s="2">
        <v>160</v>
      </c>
      <c r="O207" s="2">
        <v>30</v>
      </c>
      <c r="P207" s="5">
        <f>N207*O207</f>
        <v>4800</v>
      </c>
      <c r="Q207" s="2">
        <v>4</v>
      </c>
      <c r="R207" s="2">
        <v>10</v>
      </c>
      <c r="S207" s="2">
        <v>50</v>
      </c>
      <c r="T207" s="5">
        <v>125</v>
      </c>
      <c r="U207" s="12">
        <v>60</v>
      </c>
      <c r="V207" s="5">
        <f t="shared" si="39"/>
        <v>1</v>
      </c>
      <c r="W207" s="5">
        <f>VLOOKUP(Table19[[#This Row],[dps]],Small_Weapon_Damage_Table,2)</f>
        <v>1</v>
      </c>
      <c r="X207" s="5">
        <f>VLOOKUP(Table19[[#This Row],[dev]],Standard_Accuracy_Table,2)</f>
        <v>10</v>
      </c>
      <c r="Y207" s="5">
        <f t="shared" si="40"/>
        <v>10</v>
      </c>
      <c r="Z207" s="5">
        <f t="shared" si="41"/>
        <v>1</v>
      </c>
      <c r="AA207" s="5">
        <f>VLOOKUP(Table19[[#This Row],[Fusion]],Alt_Dmg_Table,2)</f>
        <v>1</v>
      </c>
      <c r="AB207" s="5"/>
      <c r="AD207" s="5"/>
      <c r="AE207" s="5"/>
    </row>
    <row r="208" spans="1:31" x14ac:dyDescent="0.25">
      <c r="A208" s="2" t="s">
        <v>248</v>
      </c>
      <c r="B208" s="5" t="s">
        <v>239</v>
      </c>
      <c r="C208" s="2" t="s">
        <v>55</v>
      </c>
      <c r="D208" s="5">
        <f t="shared" si="32"/>
        <v>1</v>
      </c>
      <c r="E208" s="5">
        <v>10</v>
      </c>
      <c r="F208" s="5">
        <v>15</v>
      </c>
      <c r="G208" s="2">
        <v>10</v>
      </c>
      <c r="H208" s="12">
        <f t="shared" si="33"/>
        <v>100</v>
      </c>
      <c r="I208" s="5">
        <f t="shared" si="34"/>
        <v>150</v>
      </c>
      <c r="J208" s="5">
        <f t="shared" si="35"/>
        <v>200</v>
      </c>
      <c r="K208" s="5">
        <f t="shared" si="36"/>
        <v>350</v>
      </c>
      <c r="L208" s="5">
        <f t="shared" si="37"/>
        <v>500</v>
      </c>
      <c r="M208" s="7">
        <f>Table19[[#This Row],[Nuke]]/Table19[[#This Row],[Cycle(s)]]</f>
        <v>6.666666666666667</v>
      </c>
      <c r="N208" s="61">
        <v>250</v>
      </c>
      <c r="O208" s="63" t="s">
        <v>258</v>
      </c>
      <c r="P208" s="5">
        <v>900</v>
      </c>
      <c r="Q208" s="63" t="s">
        <v>258</v>
      </c>
      <c r="R208" s="63" t="s">
        <v>258</v>
      </c>
      <c r="S208" s="3">
        <v>25</v>
      </c>
      <c r="T208" s="3">
        <v>45</v>
      </c>
      <c r="U208" s="4">
        <v>60</v>
      </c>
      <c r="V208" s="5">
        <f t="shared" si="39"/>
        <v>2</v>
      </c>
      <c r="W208" s="5">
        <f>VLOOKUP(Table19[[#This Row],[dps]],Small_Weapon_Damage_Table,2)</f>
        <v>2</v>
      </c>
      <c r="X208" s="5">
        <f>VLOOKUP(Table19[[#This Row],[dev]],Standard_Accuracy_Table,2)</f>
        <v>4</v>
      </c>
      <c r="Y208" s="5">
        <f t="shared" si="40"/>
        <v>4</v>
      </c>
      <c r="Z208" s="5">
        <f t="shared" si="41"/>
        <v>3</v>
      </c>
      <c r="AA208" s="66">
        <f>VLOOKUP(Table19[[#This Row],[Fusion]],Alt_Dmg_Table,2)</f>
        <v>3</v>
      </c>
      <c r="AB208" s="5">
        <v>3</v>
      </c>
      <c r="AD208" s="10"/>
      <c r="AE208" s="10"/>
    </row>
    <row r="209" spans="1:31" x14ac:dyDescent="0.25">
      <c r="A209" s="2" t="s">
        <v>260</v>
      </c>
      <c r="B209" s="5" t="s">
        <v>239</v>
      </c>
      <c r="C209" s="2" t="s">
        <v>261</v>
      </c>
      <c r="D209" s="5">
        <f t="shared" si="32"/>
        <v>1</v>
      </c>
      <c r="E209" s="5">
        <v>1</v>
      </c>
      <c r="F209" s="62">
        <v>60</v>
      </c>
      <c r="G209" s="5">
        <v>150</v>
      </c>
      <c r="H209" s="12">
        <f t="shared" si="33"/>
        <v>150</v>
      </c>
      <c r="I209" s="5">
        <f t="shared" si="34"/>
        <v>225</v>
      </c>
      <c r="J209" s="5">
        <f t="shared" si="35"/>
        <v>300</v>
      </c>
      <c r="K209" s="5">
        <f t="shared" si="36"/>
        <v>525</v>
      </c>
      <c r="L209" s="5">
        <f t="shared" si="37"/>
        <v>750</v>
      </c>
      <c r="M209" s="7">
        <f>Table19[[#This Row],[Nuke]]/Table19[[#This Row],[Cycle(s)]]</f>
        <v>2.5</v>
      </c>
      <c r="N209" s="61">
        <v>160</v>
      </c>
      <c r="O209" s="3">
        <v>60</v>
      </c>
      <c r="P209" s="5">
        <f t="shared" ref="P209:P215" si="42">N209*O209</f>
        <v>9600</v>
      </c>
      <c r="Q209" s="2">
        <v>2</v>
      </c>
      <c r="R209" s="2">
        <v>20</v>
      </c>
      <c r="S209" s="3">
        <v>100</v>
      </c>
      <c r="T209" s="2">
        <v>50</v>
      </c>
      <c r="V209" s="5">
        <f t="shared" si="39"/>
        <v>1</v>
      </c>
      <c r="W209" s="5">
        <f>VLOOKUP(Table19[[#This Row],[dps]],Small_Weapon_Damage_Table,2)</f>
        <v>1</v>
      </c>
      <c r="X209" s="5">
        <f>VLOOKUP(Table19[[#This Row],[dev]],Standard_Accuracy_Table,2)</f>
        <v>10</v>
      </c>
      <c r="Y209" s="5">
        <f t="shared" si="40"/>
        <v>10</v>
      </c>
      <c r="Z209" s="5">
        <f t="shared" si="41"/>
        <v>5</v>
      </c>
      <c r="AA209" s="66">
        <f>VLOOKUP(Table19[[#This Row],[Fusion]],Alt_Dmg_Table,2)</f>
        <v>5</v>
      </c>
      <c r="AB209" s="5"/>
      <c r="AD209" s="10"/>
      <c r="AE209" s="10"/>
    </row>
    <row r="210" spans="1:31" x14ac:dyDescent="0.25">
      <c r="A210" s="2" t="s">
        <v>263</v>
      </c>
      <c r="B210" s="5" t="s">
        <v>239</v>
      </c>
      <c r="C210" s="2" t="s">
        <v>261</v>
      </c>
      <c r="D210" s="5">
        <f t="shared" si="32"/>
        <v>1</v>
      </c>
      <c r="E210" s="5">
        <v>1</v>
      </c>
      <c r="F210" s="62">
        <v>60</v>
      </c>
      <c r="G210" s="5">
        <v>250</v>
      </c>
      <c r="H210" s="12">
        <f t="shared" si="33"/>
        <v>250</v>
      </c>
      <c r="I210" s="5">
        <f t="shared" si="34"/>
        <v>375</v>
      </c>
      <c r="J210" s="5">
        <f t="shared" si="35"/>
        <v>500</v>
      </c>
      <c r="K210" s="5">
        <f t="shared" si="36"/>
        <v>875</v>
      </c>
      <c r="L210" s="5">
        <f t="shared" si="37"/>
        <v>1250</v>
      </c>
      <c r="M210" s="7">
        <f>Table19[[#This Row],[Nuke]]/Table19[[#This Row],[Cycle(s)]]</f>
        <v>4.166666666666667</v>
      </c>
      <c r="N210" s="61">
        <v>160</v>
      </c>
      <c r="O210" s="3">
        <v>60</v>
      </c>
      <c r="P210" s="5">
        <f t="shared" si="42"/>
        <v>9600</v>
      </c>
      <c r="Q210" s="2">
        <v>1</v>
      </c>
      <c r="R210" s="2">
        <v>150</v>
      </c>
      <c r="S210" s="3">
        <v>250</v>
      </c>
      <c r="T210" s="2">
        <v>50</v>
      </c>
      <c r="V210" s="5">
        <f t="shared" si="39"/>
        <v>1</v>
      </c>
      <c r="W210" s="5">
        <f>VLOOKUP(Table19[[#This Row],[dps]],Small_Weapon_Damage_Table,2)</f>
        <v>1</v>
      </c>
      <c r="X210" s="5">
        <f>VLOOKUP(Table19[[#This Row],[dev]],Standard_Accuracy_Table,2)</f>
        <v>10</v>
      </c>
      <c r="Y210" s="5">
        <f t="shared" si="40"/>
        <v>10</v>
      </c>
      <c r="Z210" s="5">
        <f t="shared" si="41"/>
        <v>9</v>
      </c>
      <c r="AA210" s="66">
        <f>VLOOKUP(Table19[[#This Row],[Fusion]],Alt_Dmg_Table,2)</f>
        <v>6</v>
      </c>
      <c r="AB210" s="5"/>
      <c r="AD210" s="10"/>
      <c r="AE210" s="10"/>
    </row>
    <row r="211" spans="1:31" x14ac:dyDescent="0.25">
      <c r="A211" s="2" t="s">
        <v>264</v>
      </c>
      <c r="B211" s="5" t="s">
        <v>239</v>
      </c>
      <c r="C211" s="2" t="s">
        <v>261</v>
      </c>
      <c r="D211" s="5">
        <f t="shared" si="32"/>
        <v>1</v>
      </c>
      <c r="E211" s="5">
        <v>6</v>
      </c>
      <c r="F211" s="62">
        <v>60</v>
      </c>
      <c r="G211" s="5">
        <v>25</v>
      </c>
      <c r="H211" s="12">
        <f t="shared" si="33"/>
        <v>150</v>
      </c>
      <c r="I211" s="5">
        <f t="shared" si="34"/>
        <v>225</v>
      </c>
      <c r="J211" s="5">
        <f t="shared" si="35"/>
        <v>300</v>
      </c>
      <c r="K211" s="5">
        <f t="shared" si="36"/>
        <v>525</v>
      </c>
      <c r="L211" s="5">
        <f t="shared" si="37"/>
        <v>750</v>
      </c>
      <c r="M211" s="7">
        <f>Table19[[#This Row],[Nuke]]/Table19[[#This Row],[Cycle(s)]]</f>
        <v>2.5</v>
      </c>
      <c r="N211" s="61">
        <v>160</v>
      </c>
      <c r="O211" s="3">
        <v>60</v>
      </c>
      <c r="P211" s="5">
        <f t="shared" si="42"/>
        <v>9600</v>
      </c>
      <c r="Q211" s="2">
        <v>1.5</v>
      </c>
      <c r="R211" s="2">
        <v>80</v>
      </c>
      <c r="S211" s="3">
        <v>100</v>
      </c>
      <c r="T211" s="2">
        <v>50</v>
      </c>
      <c r="V211" s="5">
        <f t="shared" si="39"/>
        <v>1</v>
      </c>
      <c r="W211" s="5">
        <f>VLOOKUP(Table19[[#This Row],[dps]],Small_Weapon_Damage_Table,2)</f>
        <v>1</v>
      </c>
      <c r="X211" s="5">
        <f>VLOOKUP(Table19[[#This Row],[dev]],Standard_Accuracy_Table,2)</f>
        <v>10</v>
      </c>
      <c r="Y211" s="5">
        <f t="shared" si="40"/>
        <v>10</v>
      </c>
      <c r="Z211" s="5">
        <f t="shared" si="41"/>
        <v>5</v>
      </c>
      <c r="AA211" s="66">
        <f>VLOOKUP(Table19[[#This Row],[Fusion]],Alt_Dmg_Table,2)</f>
        <v>5</v>
      </c>
      <c r="AB211" s="5"/>
      <c r="AD211" s="10"/>
      <c r="AE211" s="10"/>
    </row>
    <row r="212" spans="1:31" x14ac:dyDescent="0.25">
      <c r="A212" s="2" t="s">
        <v>71</v>
      </c>
      <c r="B212" s="27" t="s">
        <v>239</v>
      </c>
      <c r="C212" s="2" t="s">
        <v>71</v>
      </c>
      <c r="D212" s="5">
        <f t="shared" si="32"/>
        <v>1</v>
      </c>
      <c r="E212" s="27">
        <v>1</v>
      </c>
      <c r="F212" s="73">
        <v>32</v>
      </c>
      <c r="G212" s="27">
        <v>25</v>
      </c>
      <c r="H212" s="33">
        <f>IF($B212="Warhead",$D212*$E212*$G212,"")</f>
        <v>25</v>
      </c>
      <c r="I212" s="27">
        <f>IF($B212="Warhead",$D212*$E212*$G212*1.5,"")</f>
        <v>37.5</v>
      </c>
      <c r="J212" s="27">
        <f>IF($B212="Warhead",$D212*$E212*$G212*2,"")</f>
        <v>50</v>
      </c>
      <c r="K212" s="27">
        <f>IF($B212="Warhead",$D212*$E212*$G212*3.5,"")</f>
        <v>87.5</v>
      </c>
      <c r="L212" s="27">
        <f>IF($B212="Warhead",$D212*$E212*$G212*5,"")</f>
        <v>125</v>
      </c>
      <c r="M212" s="29">
        <f>Table19[[#This Row],[Nuke]]/Table19[[#This Row],[Cycle(s)]]</f>
        <v>0.78125</v>
      </c>
      <c r="N212" s="61">
        <v>120</v>
      </c>
      <c r="O212" s="3">
        <v>16</v>
      </c>
      <c r="P212" s="27">
        <f t="shared" si="42"/>
        <v>1920</v>
      </c>
      <c r="Q212" s="2">
        <v>6</v>
      </c>
      <c r="R212" s="2">
        <v>5</v>
      </c>
      <c r="S212" s="2">
        <v>25</v>
      </c>
      <c r="T212" s="2"/>
      <c r="U212" s="3">
        <v>30</v>
      </c>
      <c r="V212" s="27">
        <f>VLOOKUP(F212,Standard_F_Rates,2)</f>
        <v>1</v>
      </c>
      <c r="W212" s="28">
        <f>VLOOKUP(Table19[[#This Row],[dps]],Small_Weapon_Damage_Table,2)</f>
        <v>1</v>
      </c>
      <c r="X212" s="28">
        <f>VLOOKUP(Table19[[#This Row],[dev]],Standard_Accuracy_Table,2)</f>
        <v>10</v>
      </c>
      <c r="Y212" s="27">
        <f>VLOOKUP(P212,Standard_Range_Table,2)</f>
        <v>8</v>
      </c>
      <c r="Z212" s="27">
        <f>VLOOKUP(H212,Missile_Damage_Table,2)</f>
        <v>0</v>
      </c>
      <c r="AA212" s="6">
        <f>VLOOKUP(Table19[[#This Row],[Fusion]],Alt_Dmg_Table,2)</f>
        <v>0</v>
      </c>
      <c r="AB212" s="27"/>
    </row>
    <row r="213" spans="1:31" x14ac:dyDescent="0.25">
      <c r="A213" s="2" t="s">
        <v>280</v>
      </c>
      <c r="B213" s="27" t="s">
        <v>239</v>
      </c>
      <c r="C213" s="2" t="s">
        <v>71</v>
      </c>
      <c r="D213" s="27">
        <f>IF(LEFT($A213,4) = "Dual",2,IF(LEFT($A213,6) = "Triple",3,1))</f>
        <v>2</v>
      </c>
      <c r="E213" s="27">
        <v>1</v>
      </c>
      <c r="F213" s="73">
        <v>32</v>
      </c>
      <c r="G213" s="27">
        <v>25</v>
      </c>
      <c r="H213" s="33">
        <f>IF($B213="Warhead",$D213*$E213*$G213,"")</f>
        <v>50</v>
      </c>
      <c r="I213" s="27">
        <f>IF($B213="Warhead",$D213*$E213*$G213*1.5,"")</f>
        <v>75</v>
      </c>
      <c r="J213" s="27">
        <f>IF($B213="Warhead",$D213*$E213*$G213*2,"")</f>
        <v>100</v>
      </c>
      <c r="K213" s="27">
        <f>IF($B213="Warhead",$D213*$E213*$G213*3.5,"")</f>
        <v>175</v>
      </c>
      <c r="L213" s="27">
        <f>IF($B213="Warhead",$D213*$E213*$G213*5,"")</f>
        <v>250</v>
      </c>
      <c r="M213" s="29">
        <f>Table19[[#This Row],[Nuke]]/Table19[[#This Row],[Cycle(s)]]</f>
        <v>1.5625</v>
      </c>
      <c r="N213" s="61">
        <v>120</v>
      </c>
      <c r="O213" s="3">
        <v>16</v>
      </c>
      <c r="P213" s="27">
        <f t="shared" si="42"/>
        <v>1920</v>
      </c>
      <c r="Q213" s="2">
        <v>6</v>
      </c>
      <c r="R213" s="2">
        <v>5</v>
      </c>
      <c r="S213" s="2">
        <v>25</v>
      </c>
      <c r="T213" s="2"/>
      <c r="U213" s="3">
        <v>60</v>
      </c>
      <c r="V213" s="27">
        <f>VLOOKUP(F213,Standard_F_Rates,2)</f>
        <v>1</v>
      </c>
      <c r="W213" s="28">
        <f>VLOOKUP(Table19[[#This Row],[dps]],Small_Weapon_Damage_Table,2)</f>
        <v>1</v>
      </c>
      <c r="X213" s="28">
        <f>VLOOKUP(Table19[[#This Row],[dev]],Standard_Accuracy_Table,2)</f>
        <v>10</v>
      </c>
      <c r="Y213" s="27">
        <f>VLOOKUP(P213,Standard_Range_Table,2)</f>
        <v>8</v>
      </c>
      <c r="Z213" s="27">
        <f>VLOOKUP(H213,Missile_Damage_Table,2)</f>
        <v>1</v>
      </c>
      <c r="AA213" s="6">
        <f>VLOOKUP(Table19[[#This Row],[Fusion]],Alt_Dmg_Table,2)</f>
        <v>1</v>
      </c>
      <c r="AB213" s="27"/>
    </row>
    <row r="214" spans="1:31" x14ac:dyDescent="0.25">
      <c r="A214" s="2" t="s">
        <v>281</v>
      </c>
      <c r="B214" s="27" t="s">
        <v>239</v>
      </c>
      <c r="C214" s="2" t="s">
        <v>71</v>
      </c>
      <c r="D214" s="27">
        <f>IF(LEFT($A214,4) = "Dual",2,IF(LEFT($A214,6) = "Triple",3,1))</f>
        <v>1</v>
      </c>
      <c r="E214" s="27">
        <v>1</v>
      </c>
      <c r="F214" s="73">
        <v>24</v>
      </c>
      <c r="G214" s="27">
        <v>20</v>
      </c>
      <c r="H214" s="33">
        <f>IF($B214="Warhead",$D214*$E214*$G214,"")</f>
        <v>20</v>
      </c>
      <c r="I214" s="27">
        <f>IF($B214="Warhead",$D214*$E214*$G214*1.5,"")</f>
        <v>30</v>
      </c>
      <c r="J214" s="27">
        <f>IF($B214="Warhead",$D214*$E214*$G214*2,"")</f>
        <v>40</v>
      </c>
      <c r="K214" s="27">
        <f>IF($B214="Warhead",$D214*$E214*$G214*3.5,"")</f>
        <v>70</v>
      </c>
      <c r="L214" s="27">
        <f>IF($B214="Warhead",$D214*$E214*$G214*5,"")</f>
        <v>100</v>
      </c>
      <c r="M214" s="29">
        <f>Table19[[#This Row],[Nuke]]/Table19[[#This Row],[Cycle(s)]]</f>
        <v>0.83333333333333337</v>
      </c>
      <c r="N214" s="61">
        <v>240</v>
      </c>
      <c r="O214" s="3">
        <v>7</v>
      </c>
      <c r="P214" s="27">
        <f t="shared" si="42"/>
        <v>1680</v>
      </c>
      <c r="Q214" s="2">
        <v>12</v>
      </c>
      <c r="R214" s="2">
        <v>4</v>
      </c>
      <c r="S214" s="2">
        <v>20</v>
      </c>
      <c r="T214" s="2"/>
      <c r="U214" s="3">
        <v>50</v>
      </c>
      <c r="V214" s="27">
        <f>VLOOKUP(F214,Standard_F_Rates,2)</f>
        <v>1</v>
      </c>
      <c r="W214" s="28">
        <f>VLOOKUP(Table19[[#This Row],[dps]],Small_Weapon_Damage_Table,2)</f>
        <v>1</v>
      </c>
      <c r="X214" s="28">
        <f>VLOOKUP(Table19[[#This Row],[dev]],Standard_Accuracy_Table,2)</f>
        <v>10</v>
      </c>
      <c r="Y214" s="27">
        <f>VLOOKUP(P214,Standard_Range_Table,2)</f>
        <v>7</v>
      </c>
      <c r="Z214" s="27">
        <f>VLOOKUP(H214,Missile_Damage_Table,2)</f>
        <v>0</v>
      </c>
      <c r="AA214" s="6">
        <f>VLOOKUP(Table19[[#This Row],[Fusion]],Alt_Dmg_Table,2)</f>
        <v>0</v>
      </c>
      <c r="AB214" s="27"/>
    </row>
    <row r="215" spans="1:31" x14ac:dyDescent="0.25">
      <c r="A215" s="2" t="s">
        <v>282</v>
      </c>
      <c r="B215" s="27" t="s">
        <v>239</v>
      </c>
      <c r="C215" s="2" t="s">
        <v>71</v>
      </c>
      <c r="D215" s="27">
        <f>IF(LEFT($A215,4) = "Dual",2,IF(LEFT($A215,6) = "Triple",3,1))</f>
        <v>2</v>
      </c>
      <c r="E215" s="27">
        <v>1</v>
      </c>
      <c r="F215" s="73">
        <v>24</v>
      </c>
      <c r="G215" s="27">
        <v>20</v>
      </c>
      <c r="H215" s="33">
        <f>IF($B215="Warhead",$D215*$E215*$G215,"")</f>
        <v>40</v>
      </c>
      <c r="I215" s="27">
        <f>IF($B215="Warhead",$D215*$E215*$G215*1.5,"")</f>
        <v>60</v>
      </c>
      <c r="J215" s="27">
        <f>IF($B215="Warhead",$D215*$E215*$G215*2,"")</f>
        <v>80</v>
      </c>
      <c r="K215" s="27">
        <f>IF($B215="Warhead",$D215*$E215*$G215*3.5,"")</f>
        <v>140</v>
      </c>
      <c r="L215" s="27">
        <f>IF($B215="Warhead",$D215*$E215*$G215*5,"")</f>
        <v>200</v>
      </c>
      <c r="M215" s="29">
        <f>Table19[[#This Row],[Nuke]]/Table19[[#This Row],[Cycle(s)]]</f>
        <v>1.6666666666666667</v>
      </c>
      <c r="N215" s="61">
        <v>240</v>
      </c>
      <c r="O215" s="3">
        <v>7</v>
      </c>
      <c r="P215" s="27">
        <f t="shared" si="42"/>
        <v>1680</v>
      </c>
      <c r="Q215" s="2">
        <v>12</v>
      </c>
      <c r="R215" s="2">
        <v>4</v>
      </c>
      <c r="S215" s="2">
        <v>20</v>
      </c>
      <c r="T215" s="2"/>
      <c r="U215" s="3">
        <v>100</v>
      </c>
      <c r="V215" s="27">
        <f>VLOOKUP(F215,Standard_F_Rates,2)</f>
        <v>1</v>
      </c>
      <c r="W215" s="28">
        <f>VLOOKUP(Table19[[#This Row],[dps]],Small_Weapon_Damage_Table,2)</f>
        <v>1</v>
      </c>
      <c r="X215" s="28">
        <f>VLOOKUP(Table19[[#This Row],[dev]],Standard_Accuracy_Table,2)</f>
        <v>10</v>
      </c>
      <c r="Y215" s="27">
        <f>VLOOKUP(P215,Standard_Range_Table,2)</f>
        <v>7</v>
      </c>
      <c r="Z215" s="27">
        <f>VLOOKUP(H215,Missile_Damage_Table,2)</f>
        <v>1</v>
      </c>
      <c r="AA215" s="6">
        <f>VLOOKUP(Table19[[#This Row],[Fusion]],Alt_Dmg_Table,2)</f>
        <v>1</v>
      </c>
      <c r="AB215" s="27"/>
    </row>
    <row r="217" spans="1:31" ht="23.25" x14ac:dyDescent="0.35">
      <c r="A217" s="68" t="s">
        <v>247</v>
      </c>
    </row>
    <row r="218" spans="1:31" s="54" customFormat="1" ht="19.5" x14ac:dyDescent="0.3">
      <c r="A218" s="51" t="s">
        <v>0</v>
      </c>
      <c r="B218" s="51" t="s">
        <v>15</v>
      </c>
      <c r="C218" s="51" t="s">
        <v>64</v>
      </c>
      <c r="D218" s="51" t="s">
        <v>143</v>
      </c>
      <c r="E218" s="51" t="s">
        <v>237</v>
      </c>
      <c r="F218" s="51" t="s">
        <v>244</v>
      </c>
      <c r="G218" s="51" t="s">
        <v>185</v>
      </c>
      <c r="H218" s="51" t="s">
        <v>245</v>
      </c>
      <c r="I218" s="51" t="s">
        <v>240</v>
      </c>
      <c r="J218" s="51" t="s">
        <v>199</v>
      </c>
      <c r="K218" s="51" t="s">
        <v>236</v>
      </c>
      <c r="L218" s="51" t="s">
        <v>235</v>
      </c>
      <c r="M218" s="51" t="s">
        <v>174</v>
      </c>
      <c r="N218" s="51" t="s">
        <v>241</v>
      </c>
      <c r="O218" s="51" t="s">
        <v>243</v>
      </c>
      <c r="P218" s="51" t="s">
        <v>265</v>
      </c>
      <c r="Q218" s="51" t="s">
        <v>166</v>
      </c>
      <c r="R218" s="51" t="s">
        <v>165</v>
      </c>
      <c r="S218" s="51" t="s">
        <v>59</v>
      </c>
      <c r="T218" s="51" t="s">
        <v>60</v>
      </c>
      <c r="U218" s="51" t="s">
        <v>61</v>
      </c>
      <c r="V218" s="51" t="s">
        <v>187</v>
      </c>
      <c r="Z218" s="51"/>
      <c r="AA218" s="51"/>
    </row>
    <row r="219" spans="1:31" x14ac:dyDescent="0.25">
      <c r="A219" s="2" t="s">
        <v>232</v>
      </c>
      <c r="B219" s="5" t="s">
        <v>25</v>
      </c>
      <c r="C219" s="2" t="s">
        <v>72</v>
      </c>
      <c r="D219" s="5">
        <f t="shared" ref="D219:D224" si="43">IF(LEFT($A219,4) = "Dual",2,IF(LEFT($A219,6) = "Triple",3,1))</f>
        <v>1</v>
      </c>
      <c r="E219" s="3">
        <v>1</v>
      </c>
      <c r="F219" s="5">
        <v>15</v>
      </c>
      <c r="G219" s="5">
        <v>35</v>
      </c>
      <c r="H219" s="5">
        <v>150</v>
      </c>
      <c r="I219" s="7">
        <f t="shared" ref="I219:I224" si="44">D219*E219*F219*H219/G219</f>
        <v>64.285714285714292</v>
      </c>
      <c r="J219" s="5">
        <f>D219*E219*F219*H219</f>
        <v>2250</v>
      </c>
      <c r="K219" s="23">
        <v>160</v>
      </c>
      <c r="L219" s="3">
        <v>40</v>
      </c>
      <c r="M219" s="5">
        <f>K219*L219</f>
        <v>6400</v>
      </c>
      <c r="N219" s="3">
        <v>2.5</v>
      </c>
      <c r="O219" s="2">
        <v>50</v>
      </c>
      <c r="P219" s="3">
        <v>100</v>
      </c>
      <c r="Q219" s="2">
        <v>175</v>
      </c>
      <c r="R219" s="4">
        <v>160</v>
      </c>
      <c r="S219" s="5">
        <f>VLOOKUP(F219,Standard_F_Rates,2)</f>
        <v>2</v>
      </c>
      <c r="T219" s="5">
        <f>VLOOKUP(I219,Large_Weapon_Damage_Table,2)</f>
        <v>3</v>
      </c>
      <c r="U219" s="5">
        <f>VLOOKUP(Z219+AA219,Standard_Accuracy_Table,2)</f>
        <v>10</v>
      </c>
      <c r="V219" s="5">
        <f>VLOOKUP(M219,Standard_Range_Table,2)</f>
        <v>10</v>
      </c>
    </row>
    <row r="220" spans="1:31" x14ac:dyDescent="0.25">
      <c r="A220" s="2" t="s">
        <v>233</v>
      </c>
      <c r="B220" s="5" t="s">
        <v>25</v>
      </c>
      <c r="C220" s="2" t="s">
        <v>72</v>
      </c>
      <c r="D220" s="5">
        <f t="shared" si="43"/>
        <v>1</v>
      </c>
      <c r="E220" s="3">
        <v>1</v>
      </c>
      <c r="F220" s="5">
        <v>18</v>
      </c>
      <c r="G220" s="5">
        <v>35</v>
      </c>
      <c r="H220" s="5">
        <v>300</v>
      </c>
      <c r="I220" s="7">
        <f t="shared" si="44"/>
        <v>154.28571428571428</v>
      </c>
      <c r="J220" s="5">
        <f>D220*E220*F220*H220</f>
        <v>5400</v>
      </c>
      <c r="K220" s="23">
        <v>160</v>
      </c>
      <c r="L220" s="3">
        <v>40</v>
      </c>
      <c r="M220" s="5">
        <f>K220*L220</f>
        <v>6400</v>
      </c>
      <c r="N220" s="3">
        <v>2.5</v>
      </c>
      <c r="O220" s="2">
        <v>50</v>
      </c>
      <c r="P220" s="3">
        <v>100</v>
      </c>
      <c r="Q220" s="2">
        <v>275</v>
      </c>
      <c r="R220" s="4">
        <v>300</v>
      </c>
      <c r="S220" s="5">
        <f>VLOOKUP(F220,Standard_F_Rates,2)</f>
        <v>2</v>
      </c>
      <c r="T220" s="5">
        <f>VLOOKUP(I220,Large_Weapon_Damage_Table,2)</f>
        <v>7</v>
      </c>
      <c r="U220" s="5">
        <f>VLOOKUP(Z220+AA220,Standard_Accuracy_Table,2)</f>
        <v>10</v>
      </c>
      <c r="V220" s="5">
        <f>VLOOKUP(M220,Standard_Range_Table,2)</f>
        <v>10</v>
      </c>
    </row>
    <row r="221" spans="1:31" x14ac:dyDescent="0.25">
      <c r="A221" s="2" t="s">
        <v>234</v>
      </c>
      <c r="B221" s="5" t="s">
        <v>25</v>
      </c>
      <c r="C221" s="2" t="s">
        <v>72</v>
      </c>
      <c r="D221" s="5">
        <f t="shared" si="43"/>
        <v>1</v>
      </c>
      <c r="E221" s="3">
        <v>1</v>
      </c>
      <c r="F221" s="5">
        <v>1</v>
      </c>
      <c r="G221" s="5">
        <v>32</v>
      </c>
      <c r="H221" s="3">
        <v>1000</v>
      </c>
      <c r="I221" s="7">
        <f t="shared" si="44"/>
        <v>31.25</v>
      </c>
      <c r="J221" s="5">
        <f>D221*E221*F221*H221*K221/100</f>
        <v>8000</v>
      </c>
      <c r="K221" s="23">
        <v>800</v>
      </c>
      <c r="L221" s="3">
        <v>15</v>
      </c>
      <c r="M221" s="5">
        <f>K221*L221</f>
        <v>12000</v>
      </c>
      <c r="N221" s="3">
        <v>1.5</v>
      </c>
      <c r="O221" s="2">
        <v>50</v>
      </c>
      <c r="P221" s="3">
        <v>2000</v>
      </c>
      <c r="Q221" s="2">
        <v>0</v>
      </c>
      <c r="R221" s="4">
        <v>360</v>
      </c>
      <c r="S221" s="5">
        <f>VLOOKUP(F221,Standard_F_Rates,2)</f>
        <v>10</v>
      </c>
      <c r="T221" s="5">
        <f>VLOOKUP(I221,Large_Weapon_Damage_Table,2)</f>
        <v>1</v>
      </c>
      <c r="U221" s="5">
        <f>VLOOKUP(Z221+AA221,Standard_Accuracy_Table,2)</f>
        <v>10</v>
      </c>
      <c r="V221" s="5">
        <f>VLOOKUP(M221,Standard_Range_Table,2)</f>
        <v>10</v>
      </c>
    </row>
    <row r="222" spans="1:31" x14ac:dyDescent="0.25">
      <c r="A222" s="2" t="s">
        <v>278</v>
      </c>
      <c r="B222" s="5" t="s">
        <v>25</v>
      </c>
      <c r="C222" s="2" t="s">
        <v>72</v>
      </c>
      <c r="D222" s="5">
        <f t="shared" si="43"/>
        <v>2</v>
      </c>
      <c r="E222" s="3">
        <v>1</v>
      </c>
      <c r="F222" s="5">
        <v>15</v>
      </c>
      <c r="G222" s="5">
        <v>35</v>
      </c>
      <c r="H222" s="5">
        <v>150</v>
      </c>
      <c r="I222" s="7">
        <f t="shared" si="44"/>
        <v>128.57142857142858</v>
      </c>
      <c r="J222" s="5">
        <f>D222*E222*F222*H222</f>
        <v>4500</v>
      </c>
      <c r="K222" s="23">
        <v>160</v>
      </c>
      <c r="L222" s="3">
        <v>40</v>
      </c>
      <c r="M222" s="5">
        <f>K222*L222</f>
        <v>6400</v>
      </c>
      <c r="N222" s="3">
        <v>2.5</v>
      </c>
      <c r="O222" s="2">
        <v>50</v>
      </c>
      <c r="P222" s="3">
        <v>100</v>
      </c>
      <c r="Q222" s="2">
        <v>175</v>
      </c>
      <c r="R222" s="4">
        <v>300</v>
      </c>
      <c r="S222" s="5">
        <f>VLOOKUP(F222,Standard_F_Rates,2)</f>
        <v>2</v>
      </c>
      <c r="T222" s="5">
        <f>VLOOKUP(I222,Large_Weapon_Damage_Table,2)</f>
        <v>6</v>
      </c>
      <c r="U222" s="5">
        <f>VLOOKUP(Z222+AA222,Standard_Accuracy_Table,2)</f>
        <v>10</v>
      </c>
      <c r="V222" s="5">
        <f>VLOOKUP(M222,Standard_Range_Table,2)</f>
        <v>10</v>
      </c>
    </row>
    <row r="223" spans="1:31" x14ac:dyDescent="0.25">
      <c r="A223" s="2" t="s">
        <v>279</v>
      </c>
      <c r="B223" s="5" t="s">
        <v>25</v>
      </c>
      <c r="C223" s="2" t="s">
        <v>72</v>
      </c>
      <c r="D223" s="5">
        <f t="shared" si="43"/>
        <v>2</v>
      </c>
      <c r="E223" s="3">
        <v>1</v>
      </c>
      <c r="F223" s="5">
        <v>18</v>
      </c>
      <c r="G223" s="5">
        <v>35</v>
      </c>
      <c r="H223" s="5">
        <v>300</v>
      </c>
      <c r="I223" s="7">
        <f t="shared" si="44"/>
        <v>308.57142857142856</v>
      </c>
      <c r="J223" s="5">
        <f>D223*E223*F223*H223</f>
        <v>10800</v>
      </c>
      <c r="K223" s="23">
        <v>160</v>
      </c>
      <c r="L223" s="3">
        <v>40</v>
      </c>
      <c r="M223" s="5">
        <f>K223*L223</f>
        <v>6400</v>
      </c>
      <c r="N223" s="3">
        <v>2.5</v>
      </c>
      <c r="O223" s="2">
        <v>50</v>
      </c>
      <c r="P223" s="3">
        <v>100</v>
      </c>
      <c r="Q223" s="2">
        <v>275</v>
      </c>
      <c r="R223" s="4">
        <v>500</v>
      </c>
      <c r="S223" s="5">
        <f>VLOOKUP(F223,Standard_F_Rates,2)</f>
        <v>2</v>
      </c>
      <c r="T223" s="5">
        <f>VLOOKUP(I223,Large_Weapon_Damage_Table,2)</f>
        <v>10</v>
      </c>
      <c r="U223" s="5">
        <f>VLOOKUP(Z223+AA223,Standard_Accuracy_Table,2)</f>
        <v>10</v>
      </c>
      <c r="V223" s="5">
        <f>VLOOKUP(M223,Standard_Range_Table,2)</f>
        <v>10</v>
      </c>
    </row>
    <row r="224" spans="1:31" x14ac:dyDescent="0.25">
      <c r="A224" s="2" t="s">
        <v>256</v>
      </c>
      <c r="B224" s="5" t="s">
        <v>239</v>
      </c>
      <c r="C224" s="2" t="s">
        <v>256</v>
      </c>
      <c r="D224" s="5">
        <f t="shared" si="43"/>
        <v>1</v>
      </c>
      <c r="E224" s="5">
        <v>1</v>
      </c>
      <c r="F224" s="6">
        <v>1</v>
      </c>
      <c r="G224" s="62">
        <v>10000</v>
      </c>
      <c r="H224" s="5">
        <v>2000</v>
      </c>
      <c r="I224" s="7">
        <f t="shared" si="44"/>
        <v>0.2</v>
      </c>
      <c r="J224" s="5">
        <f>D224*E224*F224*H224</f>
        <v>2000</v>
      </c>
      <c r="K224" s="21">
        <v>150</v>
      </c>
      <c r="L224" s="23">
        <v>999</v>
      </c>
      <c r="M224" s="3">
        <v>9999</v>
      </c>
      <c r="N224" s="63" t="s">
        <v>258</v>
      </c>
      <c r="O224" s="63" t="s">
        <v>258</v>
      </c>
      <c r="P224" s="63" t="s">
        <v>258</v>
      </c>
      <c r="Q224" s="63" t="s">
        <v>258</v>
      </c>
      <c r="R224" s="63" t="s">
        <v>258</v>
      </c>
      <c r="S224" s="5">
        <v>1</v>
      </c>
      <c r="T224" s="5">
        <f>VLOOKUP(H224,Missile_Damage_Table,2)</f>
        <v>10</v>
      </c>
      <c r="U224" s="5">
        <f>VLOOKUP(Z222+AA222,Standard_Accuracy_Table,2)</f>
        <v>10</v>
      </c>
      <c r="V224" s="5">
        <v>10</v>
      </c>
    </row>
  </sheetData>
  <sortState ref="A16:Y146">
    <sortCondition ref="C16:C146"/>
  </sortState>
  <conditionalFormatting sqref="L166:L17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{202C8EF6-23F6-4B4F-8F6F-7B473FA46D58}</x14:id>
        </ext>
      </extLst>
    </cfRule>
  </conditionalFormatting>
  <conditionalFormatting sqref="L132:L145 L149:L16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{CC2C4808-3F6F-44A2-B111-D0A471B32B13}</x14:id>
        </ext>
      </extLst>
    </cfRule>
  </conditionalFormatting>
  <conditionalFormatting sqref="Y132:Y14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{28C4BB63-CAC7-4302-B8F3-DBCD1B2C6EAC}</x14:id>
        </ext>
      </extLst>
    </cfRule>
  </conditionalFormatting>
  <conditionalFormatting sqref="Y149:Y16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{9EAF64A9-40FB-4F33-8582-D0D299172517}</x14:id>
        </ext>
      </extLst>
    </cfRule>
  </conditionalFormatting>
  <conditionalFormatting sqref="Y166:Y17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{9E62BB88-42F0-44C0-822C-E483F8D7EE22}</x14:id>
        </ext>
      </extLst>
    </cfRule>
  </conditionalFormatting>
  <conditionalFormatting sqref="M14:M72 M74:M12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{587C731B-4F64-404F-A36C-AEF4C04ABB1C}</x14:id>
        </ext>
      </extLst>
    </cfRule>
  </conditionalFormatting>
  <conditionalFormatting sqref="Z14:Z72 Z74:Z1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{6EF88D96-83A7-45F9-9862-4744FC6EAA2B}</x14:id>
        </ext>
      </extLst>
    </cfRule>
  </conditionalFormatting>
  <conditionalFormatting sqref="L149:L16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{FE3C6F8B-1861-4126-99C0-B31ACDBE3E6D}</x14:id>
        </ext>
      </extLst>
    </cfRule>
  </conditionalFormatting>
  <conditionalFormatting sqref="Q149:Q1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{DF0369FD-7689-4FAB-AE21-839A641BD8B5}</x14:id>
        </ext>
      </extLst>
    </cfRule>
  </conditionalFormatting>
  <conditionalFormatting sqref="Q132:Q145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{7D817294-FA65-47FE-990A-5FDCD33B13F1}</x14:id>
        </ext>
      </extLst>
    </cfRule>
  </conditionalFormatting>
  <conditionalFormatting sqref="R14:R72 R74:R1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{CDDD28C0-F66E-48CD-A3FE-0BAF37821262}</x14:id>
        </ext>
      </extLst>
    </cfRule>
  </conditionalFormatting>
  <conditionalFormatting sqref="L1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{5669981C-41D1-4601-BD0C-DDBD607830FF}</x14:id>
        </ext>
      </extLst>
    </cfRule>
  </conditionalFormatting>
  <conditionalFormatting sqref="M12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{F528D56A-0AAA-4466-8929-FEE774577745}</x14:id>
        </ext>
      </extLst>
    </cfRule>
  </conditionalFormatting>
  <conditionalFormatting sqref="Z12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{8F260663-1977-434D-B2A3-02311A86E61B}</x14:id>
        </ext>
      </extLst>
    </cfRule>
  </conditionalFormatting>
  <conditionalFormatting sqref="R12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{CF924D68-8781-4C18-A9EE-947DD864EC87}</x14:id>
        </ext>
      </extLst>
    </cfRule>
  </conditionalFormatting>
  <conditionalFormatting sqref="M1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{8B40A042-7DE5-4BD7-A297-A63350C8A916}</x14:id>
        </ext>
      </extLst>
    </cfRule>
  </conditionalFormatting>
  <conditionalFormatting sqref="Z12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{674C2CA1-254A-411F-B785-7B2EB5E5D999}</x14:id>
        </ext>
      </extLst>
    </cfRule>
  </conditionalFormatting>
  <conditionalFormatting sqref="R12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{997539E2-1B5F-4984-A03C-1F2D16F79BFF}</x14:id>
        </ext>
      </extLst>
    </cfRule>
  </conditionalFormatting>
  <conditionalFormatting sqref="Z14:Z72 Z74:Z12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{2AD790A9-A347-45F9-9994-D02E54FFF80E}</x14:id>
        </ext>
      </extLst>
    </cfRule>
  </conditionalFormatting>
  <conditionalFormatting sqref="M14:M72 M74:M1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{6B689C24-D0F0-4BBC-A8FA-497E3A3E8A34}</x14:id>
        </ext>
      </extLst>
    </cfRule>
  </conditionalFormatting>
  <conditionalFormatting sqref="R14:R72 R74:R12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{ECCEE20D-714D-4E67-BE76-87394027D95B}</x14:id>
        </ext>
      </extLst>
    </cfRule>
  </conditionalFormatting>
  <conditionalFormatting sqref="M7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{C68984BC-F6C6-4121-91B5-A12C5F35D986}</x14:id>
        </ext>
      </extLst>
    </cfRule>
  </conditionalFormatting>
  <conditionalFormatting sqref="Z7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{278792BD-04C7-479B-A3F1-BDE28BE0E12C}</x14:id>
        </ext>
      </extLst>
    </cfRule>
  </conditionalFormatting>
  <conditionalFormatting sqref="R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{7813FB47-F35B-4961-B08B-97A1AE5D787B}</x14:id>
        </ext>
      </extLst>
    </cfRule>
  </conditionalFormatting>
  <conditionalFormatting sqref="Z7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{6B76CBC0-FA32-447B-B1E6-389D67F6CC42}</x14:id>
        </ext>
      </extLst>
    </cfRule>
  </conditionalFormatting>
  <conditionalFormatting sqref="M7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{A49B35AF-CAF6-4E53-9990-823EF5167152}</x14:id>
        </ext>
      </extLst>
    </cfRule>
  </conditionalFormatting>
  <conditionalFormatting sqref="R7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{E175776B-19AF-41BF-B333-6BD74FC474E2}</x14:id>
        </ext>
      </extLst>
    </cfRule>
  </conditionalFormatting>
  <conditionalFormatting sqref="M14:M1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{415D05FD-B940-4365-9658-21E75AEFA11D}</x14:id>
        </ext>
      </extLst>
    </cfRule>
  </conditionalFormatting>
  <conditionalFormatting sqref="R14:R12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{27C31AB2-6B8A-4B4D-922B-0A5F4AB15DC6}</x14:id>
        </ext>
      </extLst>
    </cfRule>
  </conditionalFormatting>
  <conditionalFormatting sqref="Z14:Z128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{F9C09BF8-ABF8-4A18-83D8-51C296E63923}</x14:id>
        </ext>
      </extLst>
    </cfRule>
  </conditionalFormatting>
  <conditionalFormatting sqref="I179:I1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{6A9FC3B9-2873-4E57-911F-9911DE495361}</x14:id>
        </ext>
      </extLst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2C8EF6-23F6-4B4F-8F6F-7B473FA46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L166:L175</xm:sqref>
        </x14:conditionalFormatting>
        <x14:conditionalFormatting xmlns:xm="http://schemas.microsoft.com/office/excel/2006/main">
          <x14:cfRule type="dataBar" id="{CC2C4808-3F6F-44A2-B111-D0A471B32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L132:L145 L149:L162</xm:sqref>
        </x14:conditionalFormatting>
        <x14:conditionalFormatting xmlns:xm="http://schemas.microsoft.com/office/excel/2006/main">
          <x14:cfRule type="dataBar" id="{28C4BB63-CAC7-4302-B8F3-DBCD1B2C6E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Y132:Y145</xm:sqref>
        </x14:conditionalFormatting>
        <x14:conditionalFormatting xmlns:xm="http://schemas.microsoft.com/office/excel/2006/main">
          <x14:cfRule type="dataBar" id="{9EAF64A9-40FB-4F33-8582-D0D2991725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Y149:Y162</xm:sqref>
        </x14:conditionalFormatting>
        <x14:conditionalFormatting xmlns:xm="http://schemas.microsoft.com/office/excel/2006/main">
          <x14:cfRule type="dataBar" id="{9E62BB88-42F0-44C0-822C-E483F8D7EE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Y166:Y175</xm:sqref>
        </x14:conditionalFormatting>
        <x14:conditionalFormatting xmlns:xm="http://schemas.microsoft.com/office/excel/2006/main">
          <x14:cfRule type="dataBar" id="{587C731B-4F64-404F-A36C-AEF4C04AB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M14:M72 M74:M121</xm:sqref>
        </x14:conditionalFormatting>
        <x14:conditionalFormatting xmlns:xm="http://schemas.microsoft.com/office/excel/2006/main">
          <x14:cfRule type="dataBar" id="{6EF88D96-83A7-45F9-9862-4744FC6EA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Z14:Z72 Z74:Z121</xm:sqref>
        </x14:conditionalFormatting>
        <x14:conditionalFormatting xmlns:xm="http://schemas.microsoft.com/office/excel/2006/main">
          <x14:cfRule type="dataBar" id="{FE3C6F8B-1861-4126-99C0-B31ACDBE3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L149:L162</xm:sqref>
        </x14:conditionalFormatting>
        <x14:conditionalFormatting xmlns:xm="http://schemas.microsoft.com/office/excel/2006/main">
          <x14:cfRule type="dataBar" id="{DF0369FD-7689-4FAB-AE21-839A641BD8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Q149:Q162</xm:sqref>
        </x14:conditionalFormatting>
        <x14:conditionalFormatting xmlns:xm="http://schemas.microsoft.com/office/excel/2006/main">
          <x14:cfRule type="dataBar" id="{7D817294-FA65-47FE-990A-5FDCD33B13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Q132:Q145</xm:sqref>
        </x14:conditionalFormatting>
        <x14:conditionalFormatting xmlns:xm="http://schemas.microsoft.com/office/excel/2006/main">
          <x14:cfRule type="dataBar" id="{CDDD28C0-F66E-48CD-A3FE-0BAF378212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R14:R72 R74:R121</xm:sqref>
        </x14:conditionalFormatting>
        <x14:conditionalFormatting xmlns:xm="http://schemas.microsoft.com/office/excel/2006/main">
          <x14:cfRule type="dataBar" id="{5669981C-41D1-4601-BD0C-DDBD60783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F528D56A-0AAA-4466-8929-FEE774577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M128</xm:sqref>
        </x14:conditionalFormatting>
        <x14:conditionalFormatting xmlns:xm="http://schemas.microsoft.com/office/excel/2006/main">
          <x14:cfRule type="dataBar" id="{8F260663-1977-434D-B2A3-02311A86E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Z128</xm:sqref>
        </x14:conditionalFormatting>
        <x14:conditionalFormatting xmlns:xm="http://schemas.microsoft.com/office/excel/2006/main">
          <x14:cfRule type="dataBar" id="{CF924D68-8781-4C18-A9EE-947DD864E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R128</xm:sqref>
        </x14:conditionalFormatting>
        <x14:conditionalFormatting xmlns:xm="http://schemas.microsoft.com/office/excel/2006/main">
          <x14:cfRule type="dataBar" id="{8B40A042-7DE5-4BD7-A297-A63350C8A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M128</xm:sqref>
        </x14:conditionalFormatting>
        <x14:conditionalFormatting xmlns:xm="http://schemas.microsoft.com/office/excel/2006/main">
          <x14:cfRule type="dataBar" id="{674C2CA1-254A-411F-B785-7B2EB5E5D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Z128</xm:sqref>
        </x14:conditionalFormatting>
        <x14:conditionalFormatting xmlns:xm="http://schemas.microsoft.com/office/excel/2006/main">
          <x14:cfRule type="dataBar" id="{997539E2-1B5F-4984-A03C-1F2D16F79B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R128</xm:sqref>
        </x14:conditionalFormatting>
        <x14:conditionalFormatting xmlns:xm="http://schemas.microsoft.com/office/excel/2006/main">
          <x14:cfRule type="dataBar" id="{2AD790A9-A347-45F9-9994-D02E54FFF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Z14:Z72 Z74:Z128</xm:sqref>
        </x14:conditionalFormatting>
        <x14:conditionalFormatting xmlns:xm="http://schemas.microsoft.com/office/excel/2006/main">
          <x14:cfRule type="dataBar" id="{6B689C24-D0F0-4BBC-A8FA-497E3A3E8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M14:M72 M74:M128</xm:sqref>
        </x14:conditionalFormatting>
        <x14:conditionalFormatting xmlns:xm="http://schemas.microsoft.com/office/excel/2006/main">
          <x14:cfRule type="dataBar" id="{ECCEE20D-714D-4E67-BE76-87394027D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R14:R72 R74:R128</xm:sqref>
        </x14:conditionalFormatting>
        <x14:conditionalFormatting xmlns:xm="http://schemas.microsoft.com/office/excel/2006/main">
          <x14:cfRule type="dataBar" id="{C68984BC-F6C6-4121-91B5-A12C5F35D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M73</xm:sqref>
        </x14:conditionalFormatting>
        <x14:conditionalFormatting xmlns:xm="http://schemas.microsoft.com/office/excel/2006/main">
          <x14:cfRule type="dataBar" id="{278792BD-04C7-479B-A3F1-BDE28BE0E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Z73</xm:sqref>
        </x14:conditionalFormatting>
        <x14:conditionalFormatting xmlns:xm="http://schemas.microsoft.com/office/excel/2006/main">
          <x14:cfRule type="dataBar" id="{7813FB47-F35B-4961-B08B-97A1AE5D78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R73</xm:sqref>
        </x14:conditionalFormatting>
        <x14:conditionalFormatting xmlns:xm="http://schemas.microsoft.com/office/excel/2006/main">
          <x14:cfRule type="dataBar" id="{6B76CBC0-FA32-447B-B1E6-389D67F6C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Z73</xm:sqref>
        </x14:conditionalFormatting>
        <x14:conditionalFormatting xmlns:xm="http://schemas.microsoft.com/office/excel/2006/main">
          <x14:cfRule type="dataBar" id="{A49B35AF-CAF6-4E53-9990-823EF5167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M73</xm:sqref>
        </x14:conditionalFormatting>
        <x14:conditionalFormatting xmlns:xm="http://schemas.microsoft.com/office/excel/2006/main">
          <x14:cfRule type="dataBar" id="{E175776B-19AF-41BF-B333-6BD74FC474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R73</xm:sqref>
        </x14:conditionalFormatting>
        <x14:conditionalFormatting xmlns:xm="http://schemas.microsoft.com/office/excel/2006/main">
          <x14:cfRule type="dataBar" id="{415D05FD-B940-4365-9658-21E75AEFA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M14:M128</xm:sqref>
        </x14:conditionalFormatting>
        <x14:conditionalFormatting xmlns:xm="http://schemas.microsoft.com/office/excel/2006/main">
          <x14:cfRule type="dataBar" id="{27C31AB2-6B8A-4B4D-922B-0A5F4AB15D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R14:R128</xm:sqref>
        </x14:conditionalFormatting>
        <x14:conditionalFormatting xmlns:xm="http://schemas.microsoft.com/office/excel/2006/main">
          <x14:cfRule type="dataBar" id="{F9C09BF8-ABF8-4A18-83D8-51C296E639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Z14:Z128</xm:sqref>
        </x14:conditionalFormatting>
        <x14:conditionalFormatting xmlns:xm="http://schemas.microsoft.com/office/excel/2006/main">
          <x14:cfRule type="dataBar" id="{6A9FC3B9-2873-4E57-911F-9911DE495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I179:I190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workbookViewId="0">
      <selection activeCell="B30" sqref="B30"/>
    </sheetView>
  </sheetViews>
  <sheetFormatPr defaultRowHeight="15" x14ac:dyDescent="0.25"/>
  <cols>
    <col min="1" max="1" width="32" customWidth="1"/>
    <col min="5" max="5" width="20.5703125" bestFit="1" customWidth="1"/>
    <col min="6" max="6" width="11" customWidth="1"/>
    <col min="8" max="8" width="22.140625" customWidth="1"/>
    <col min="9" max="9" width="11" customWidth="1"/>
    <col min="11" max="11" width="24.42578125" customWidth="1"/>
    <col min="12" max="12" width="11" customWidth="1"/>
  </cols>
  <sheetData>
    <row r="1" spans="1:12" x14ac:dyDescent="0.25">
      <c r="A1" s="43"/>
      <c r="B1" s="44"/>
      <c r="C1" s="2"/>
      <c r="D1" s="2"/>
      <c r="E1" s="2"/>
      <c r="F1" s="44"/>
    </row>
    <row r="2" spans="1:12" x14ac:dyDescent="0.25">
      <c r="A2" t="s">
        <v>189</v>
      </c>
      <c r="B2" t="s">
        <v>213</v>
      </c>
      <c r="E2" t="s">
        <v>194</v>
      </c>
      <c r="F2" t="s">
        <v>213</v>
      </c>
      <c r="H2" t="s">
        <v>195</v>
      </c>
      <c r="I2" t="s">
        <v>213</v>
      </c>
      <c r="K2" t="s">
        <v>198</v>
      </c>
      <c r="L2" t="s">
        <v>213</v>
      </c>
    </row>
    <row r="3" spans="1:12" x14ac:dyDescent="0.25">
      <c r="A3">
        <v>0</v>
      </c>
      <c r="B3">
        <v>0</v>
      </c>
      <c r="E3">
        <v>0</v>
      </c>
      <c r="F3">
        <v>10</v>
      </c>
      <c r="H3">
        <v>0</v>
      </c>
      <c r="I3">
        <v>0</v>
      </c>
      <c r="K3">
        <v>0</v>
      </c>
      <c r="L3">
        <v>10</v>
      </c>
    </row>
    <row r="4" spans="1:12" x14ac:dyDescent="0.25">
      <c r="A4">
        <v>1</v>
      </c>
      <c r="B4">
        <v>1</v>
      </c>
      <c r="E4">
        <v>1.1000000000000001</v>
      </c>
      <c r="F4">
        <v>9</v>
      </c>
      <c r="H4">
        <v>1</v>
      </c>
      <c r="I4">
        <v>1</v>
      </c>
      <c r="K4">
        <v>0.01</v>
      </c>
      <c r="L4">
        <v>9</v>
      </c>
    </row>
    <row r="5" spans="1:12" x14ac:dyDescent="0.25">
      <c r="A5">
        <v>40</v>
      </c>
      <c r="B5">
        <v>2</v>
      </c>
      <c r="E5">
        <v>3.1</v>
      </c>
      <c r="F5">
        <v>8</v>
      </c>
      <c r="H5">
        <v>351</v>
      </c>
      <c r="I5">
        <v>2</v>
      </c>
      <c r="K5">
        <v>0.5</v>
      </c>
      <c r="L5">
        <v>8</v>
      </c>
    </row>
    <row r="6" spans="1:12" x14ac:dyDescent="0.25">
      <c r="A6">
        <v>60</v>
      </c>
      <c r="B6">
        <v>3</v>
      </c>
      <c r="E6">
        <v>5.0999999999999996</v>
      </c>
      <c r="F6">
        <v>7</v>
      </c>
      <c r="H6">
        <v>551</v>
      </c>
      <c r="I6">
        <v>3</v>
      </c>
      <c r="K6">
        <v>1</v>
      </c>
      <c r="L6">
        <v>7</v>
      </c>
    </row>
    <row r="7" spans="1:12" x14ac:dyDescent="0.25">
      <c r="A7">
        <v>80</v>
      </c>
      <c r="B7">
        <v>4</v>
      </c>
      <c r="E7">
        <v>6.1</v>
      </c>
      <c r="F7">
        <v>6</v>
      </c>
      <c r="H7">
        <v>851</v>
      </c>
      <c r="I7">
        <v>4</v>
      </c>
      <c r="K7">
        <v>1.5</v>
      </c>
      <c r="L7">
        <v>6</v>
      </c>
    </row>
    <row r="8" spans="1:12" x14ac:dyDescent="0.25">
      <c r="A8">
        <v>100</v>
      </c>
      <c r="B8">
        <v>5</v>
      </c>
      <c r="E8">
        <v>7.1</v>
      </c>
      <c r="F8">
        <v>5</v>
      </c>
      <c r="H8">
        <v>1051</v>
      </c>
      <c r="I8">
        <v>5</v>
      </c>
      <c r="K8">
        <v>2</v>
      </c>
      <c r="L8">
        <v>5</v>
      </c>
    </row>
    <row r="9" spans="1:12" x14ac:dyDescent="0.25">
      <c r="A9">
        <v>120</v>
      </c>
      <c r="B9">
        <v>6</v>
      </c>
      <c r="E9">
        <v>8.1</v>
      </c>
      <c r="F9">
        <v>4</v>
      </c>
      <c r="H9">
        <v>1251</v>
      </c>
      <c r="I9">
        <v>6</v>
      </c>
      <c r="K9">
        <v>3</v>
      </c>
      <c r="L9">
        <v>4</v>
      </c>
    </row>
    <row r="10" spans="1:12" x14ac:dyDescent="0.25">
      <c r="A10">
        <v>140</v>
      </c>
      <c r="B10">
        <v>7</v>
      </c>
      <c r="E10">
        <v>10.1</v>
      </c>
      <c r="F10">
        <v>3</v>
      </c>
      <c r="H10">
        <v>1451</v>
      </c>
      <c r="I10">
        <v>7</v>
      </c>
      <c r="K10">
        <v>4</v>
      </c>
      <c r="L10">
        <v>3</v>
      </c>
    </row>
    <row r="11" spans="1:12" x14ac:dyDescent="0.25">
      <c r="A11">
        <v>160</v>
      </c>
      <c r="B11">
        <v>8</v>
      </c>
      <c r="E11">
        <v>12.1</v>
      </c>
      <c r="F11">
        <v>2</v>
      </c>
      <c r="H11">
        <v>1751</v>
      </c>
      <c r="I11">
        <v>8</v>
      </c>
      <c r="K11">
        <v>5</v>
      </c>
      <c r="L11">
        <v>2</v>
      </c>
    </row>
    <row r="12" spans="1:12" x14ac:dyDescent="0.25">
      <c r="A12">
        <v>180</v>
      </c>
      <c r="B12">
        <v>9</v>
      </c>
      <c r="E12">
        <v>20.100000000000001</v>
      </c>
      <c r="F12">
        <v>1</v>
      </c>
      <c r="H12">
        <v>2301</v>
      </c>
      <c r="I12">
        <v>9</v>
      </c>
      <c r="K12">
        <v>6</v>
      </c>
      <c r="L12">
        <v>1</v>
      </c>
    </row>
    <row r="13" spans="1:12" x14ac:dyDescent="0.25">
      <c r="A13">
        <v>200</v>
      </c>
      <c r="B13">
        <v>10</v>
      </c>
      <c r="E13" s="1"/>
      <c r="H13">
        <v>3000</v>
      </c>
      <c r="I13">
        <v>10</v>
      </c>
    </row>
    <row r="15" spans="1:12" x14ac:dyDescent="0.25">
      <c r="A15" t="s">
        <v>190</v>
      </c>
      <c r="B15" t="s">
        <v>213</v>
      </c>
      <c r="E15" t="s">
        <v>276</v>
      </c>
      <c r="F15" t="s">
        <v>213</v>
      </c>
      <c r="H15" t="s">
        <v>271</v>
      </c>
      <c r="I15" t="s">
        <v>272</v>
      </c>
    </row>
    <row r="16" spans="1:12" x14ac:dyDescent="0.25">
      <c r="A16">
        <v>0</v>
      </c>
      <c r="B16">
        <v>0</v>
      </c>
      <c r="E16">
        <v>0</v>
      </c>
      <c r="F16">
        <v>0</v>
      </c>
      <c r="H16">
        <v>0</v>
      </c>
      <c r="I16">
        <v>0</v>
      </c>
    </row>
    <row r="17" spans="1:9" x14ac:dyDescent="0.25">
      <c r="A17">
        <v>1</v>
      </c>
      <c r="B17">
        <v>1</v>
      </c>
      <c r="E17">
        <v>100</v>
      </c>
      <c r="F17">
        <v>1</v>
      </c>
      <c r="H17">
        <v>25</v>
      </c>
      <c r="I17">
        <v>1</v>
      </c>
    </row>
    <row r="18" spans="1:9" x14ac:dyDescent="0.25">
      <c r="A18">
        <v>15</v>
      </c>
      <c r="B18">
        <v>2</v>
      </c>
      <c r="E18">
        <v>200</v>
      </c>
      <c r="F18">
        <v>2</v>
      </c>
      <c r="H18">
        <v>50</v>
      </c>
      <c r="I18">
        <v>2</v>
      </c>
    </row>
    <row r="19" spans="1:9" x14ac:dyDescent="0.25">
      <c r="A19">
        <v>25</v>
      </c>
      <c r="B19">
        <v>3</v>
      </c>
      <c r="E19">
        <v>300</v>
      </c>
      <c r="F19">
        <v>3</v>
      </c>
      <c r="H19">
        <v>75</v>
      </c>
      <c r="I19">
        <v>3</v>
      </c>
    </row>
    <row r="20" spans="1:9" x14ac:dyDescent="0.25">
      <c r="A20">
        <v>35</v>
      </c>
      <c r="B20">
        <v>4</v>
      </c>
      <c r="E20">
        <v>400</v>
      </c>
      <c r="F20">
        <v>4</v>
      </c>
      <c r="H20">
        <v>100</v>
      </c>
      <c r="I20">
        <v>4</v>
      </c>
    </row>
    <row r="21" spans="1:9" x14ac:dyDescent="0.25">
      <c r="A21">
        <v>45</v>
      </c>
      <c r="B21">
        <v>5</v>
      </c>
      <c r="E21">
        <v>500</v>
      </c>
      <c r="F21">
        <v>5</v>
      </c>
      <c r="H21">
        <v>200</v>
      </c>
      <c r="I21">
        <v>5</v>
      </c>
    </row>
    <row r="22" spans="1:9" x14ac:dyDescent="0.25">
      <c r="A22">
        <v>55</v>
      </c>
      <c r="B22">
        <v>6</v>
      </c>
      <c r="E22">
        <v>750</v>
      </c>
      <c r="F22">
        <v>6</v>
      </c>
      <c r="H22">
        <v>300</v>
      </c>
      <c r="I22">
        <v>6</v>
      </c>
    </row>
    <row r="23" spans="1:9" x14ac:dyDescent="0.25">
      <c r="A23">
        <v>65</v>
      </c>
      <c r="B23">
        <v>7</v>
      </c>
      <c r="E23">
        <v>1000</v>
      </c>
      <c r="F23">
        <v>7</v>
      </c>
      <c r="H23">
        <v>400</v>
      </c>
      <c r="I23">
        <v>7</v>
      </c>
    </row>
    <row r="24" spans="1:9" x14ac:dyDescent="0.25">
      <c r="A24">
        <v>75</v>
      </c>
      <c r="B24">
        <v>8</v>
      </c>
      <c r="E24">
        <v>1300</v>
      </c>
      <c r="F24">
        <v>8</v>
      </c>
      <c r="H24">
        <v>500</v>
      </c>
      <c r="I24">
        <v>8</v>
      </c>
    </row>
    <row r="25" spans="1:9" x14ac:dyDescent="0.25">
      <c r="A25">
        <v>85</v>
      </c>
      <c r="B25">
        <v>9</v>
      </c>
      <c r="E25">
        <v>1800</v>
      </c>
      <c r="F25">
        <v>9</v>
      </c>
      <c r="H25">
        <v>750</v>
      </c>
      <c r="I25">
        <v>9</v>
      </c>
    </row>
    <row r="26" spans="1:9" x14ac:dyDescent="0.25">
      <c r="A26">
        <v>95</v>
      </c>
      <c r="B26">
        <v>10</v>
      </c>
      <c r="E26">
        <v>2000</v>
      </c>
      <c r="F26">
        <v>10</v>
      </c>
      <c r="H26">
        <v>1000</v>
      </c>
      <c r="I26">
        <v>10</v>
      </c>
    </row>
    <row r="28" spans="1:9" ht="15.75" thickBot="1" x14ac:dyDescent="0.3">
      <c r="A28" t="s">
        <v>191</v>
      </c>
      <c r="B28" t="s">
        <v>213</v>
      </c>
      <c r="E28" s="59" t="s">
        <v>242</v>
      </c>
      <c r="F28" s="59" t="s">
        <v>213</v>
      </c>
    </row>
    <row r="29" spans="1:9" x14ac:dyDescent="0.25">
      <c r="A29">
        <v>0</v>
      </c>
      <c r="B29">
        <v>0</v>
      </c>
      <c r="E29" s="60">
        <v>0</v>
      </c>
      <c r="F29" s="60">
        <v>0</v>
      </c>
    </row>
    <row r="30" spans="1:9" x14ac:dyDescent="0.25">
      <c r="A30">
        <v>0.1</v>
      </c>
      <c r="B30">
        <v>1</v>
      </c>
      <c r="E30" s="58">
        <v>40</v>
      </c>
      <c r="F30" s="58">
        <v>1</v>
      </c>
    </row>
    <row r="31" spans="1:9" x14ac:dyDescent="0.25">
      <c r="A31">
        <v>5</v>
      </c>
      <c r="B31">
        <v>2</v>
      </c>
      <c r="E31" s="58">
        <v>80</v>
      </c>
      <c r="F31" s="57">
        <v>2</v>
      </c>
    </row>
    <row r="32" spans="1:9" x14ac:dyDescent="0.25">
      <c r="A32">
        <v>7.5</v>
      </c>
      <c r="B32">
        <v>3</v>
      </c>
      <c r="E32" s="57">
        <v>100</v>
      </c>
      <c r="F32" s="58">
        <v>3</v>
      </c>
    </row>
    <row r="33" spans="1:6" x14ac:dyDescent="0.25">
      <c r="A33">
        <v>10</v>
      </c>
      <c r="B33">
        <v>4</v>
      </c>
      <c r="E33" s="58">
        <v>120</v>
      </c>
      <c r="F33" s="57">
        <v>4</v>
      </c>
    </row>
    <row r="34" spans="1:6" x14ac:dyDescent="0.25">
      <c r="A34">
        <v>15</v>
      </c>
      <c r="B34">
        <v>5</v>
      </c>
      <c r="E34" s="57">
        <v>140</v>
      </c>
      <c r="F34" s="58">
        <v>5</v>
      </c>
    </row>
    <row r="35" spans="1:6" x14ac:dyDescent="0.25">
      <c r="A35">
        <v>20</v>
      </c>
      <c r="B35">
        <v>6</v>
      </c>
      <c r="E35" s="58">
        <v>160</v>
      </c>
      <c r="F35" s="57">
        <v>6</v>
      </c>
    </row>
    <row r="36" spans="1:6" x14ac:dyDescent="0.25">
      <c r="A36">
        <v>25</v>
      </c>
      <c r="B36">
        <v>7</v>
      </c>
      <c r="E36" s="57">
        <v>180</v>
      </c>
      <c r="F36" s="58">
        <v>7</v>
      </c>
    </row>
    <row r="37" spans="1:6" x14ac:dyDescent="0.25">
      <c r="A37">
        <v>30</v>
      </c>
      <c r="B37">
        <v>8</v>
      </c>
      <c r="E37" s="58">
        <v>200</v>
      </c>
      <c r="F37" s="57">
        <v>8</v>
      </c>
    </row>
    <row r="38" spans="1:6" x14ac:dyDescent="0.25">
      <c r="A38">
        <v>35</v>
      </c>
      <c r="B38">
        <v>9</v>
      </c>
      <c r="E38" s="57">
        <v>220</v>
      </c>
      <c r="F38" s="58">
        <v>9</v>
      </c>
    </row>
    <row r="39" spans="1:6" x14ac:dyDescent="0.25">
      <c r="A39">
        <v>40</v>
      </c>
      <c r="B39">
        <v>10</v>
      </c>
      <c r="E39" s="57">
        <v>300</v>
      </c>
      <c r="F39" s="57">
        <v>10</v>
      </c>
    </row>
    <row r="41" spans="1:6" x14ac:dyDescent="0.25">
      <c r="A41" t="s">
        <v>192</v>
      </c>
      <c r="B41" t="s">
        <v>213</v>
      </c>
      <c r="E41" t="s">
        <v>267</v>
      </c>
      <c r="F41" t="s">
        <v>213</v>
      </c>
    </row>
    <row r="42" spans="1:6" x14ac:dyDescent="0.25">
      <c r="A42">
        <v>0</v>
      </c>
      <c r="B42">
        <v>0</v>
      </c>
      <c r="E42">
        <v>0</v>
      </c>
      <c r="F42">
        <v>0</v>
      </c>
    </row>
    <row r="43" spans="1:6" x14ac:dyDescent="0.25">
      <c r="A43">
        <v>1</v>
      </c>
      <c r="B43">
        <v>1</v>
      </c>
      <c r="E43">
        <v>100</v>
      </c>
      <c r="F43">
        <v>1</v>
      </c>
    </row>
    <row r="44" spans="1:6" x14ac:dyDescent="0.25">
      <c r="A44">
        <v>50</v>
      </c>
      <c r="B44">
        <v>2</v>
      </c>
      <c r="E44">
        <v>200</v>
      </c>
      <c r="F44">
        <v>2</v>
      </c>
    </row>
    <row r="45" spans="1:6" x14ac:dyDescent="0.25">
      <c r="A45">
        <v>100</v>
      </c>
      <c r="B45">
        <v>3</v>
      </c>
      <c r="E45">
        <v>300</v>
      </c>
      <c r="F45">
        <v>3</v>
      </c>
    </row>
    <row r="46" spans="1:6" x14ac:dyDescent="0.25">
      <c r="A46">
        <v>150</v>
      </c>
      <c r="B46">
        <v>4</v>
      </c>
      <c r="E46">
        <v>400</v>
      </c>
      <c r="F46">
        <v>4</v>
      </c>
    </row>
    <row r="47" spans="1:6" x14ac:dyDescent="0.25">
      <c r="A47">
        <v>200</v>
      </c>
      <c r="B47">
        <v>5</v>
      </c>
      <c r="E47">
        <v>500</v>
      </c>
      <c r="F47">
        <v>5</v>
      </c>
    </row>
    <row r="48" spans="1:6" x14ac:dyDescent="0.25">
      <c r="A48">
        <v>300</v>
      </c>
      <c r="B48">
        <v>6</v>
      </c>
      <c r="E48">
        <v>600</v>
      </c>
      <c r="F48">
        <v>6</v>
      </c>
    </row>
    <row r="49" spans="1:6" x14ac:dyDescent="0.25">
      <c r="A49">
        <v>400</v>
      </c>
      <c r="B49">
        <v>7</v>
      </c>
      <c r="E49">
        <v>700</v>
      </c>
      <c r="F49">
        <v>7</v>
      </c>
    </row>
    <row r="50" spans="1:6" x14ac:dyDescent="0.25">
      <c r="A50">
        <v>500</v>
      </c>
      <c r="B50">
        <v>8</v>
      </c>
      <c r="E50">
        <v>800</v>
      </c>
      <c r="F50">
        <v>8</v>
      </c>
    </row>
    <row r="51" spans="1:6" x14ac:dyDescent="0.25">
      <c r="A51">
        <v>600</v>
      </c>
      <c r="B51">
        <v>9</v>
      </c>
      <c r="E51">
        <v>900</v>
      </c>
      <c r="F51">
        <v>9</v>
      </c>
    </row>
    <row r="52" spans="1:6" x14ac:dyDescent="0.25">
      <c r="A52">
        <v>700</v>
      </c>
      <c r="B52">
        <v>10</v>
      </c>
      <c r="E52">
        <v>1000</v>
      </c>
      <c r="F52">
        <v>10</v>
      </c>
    </row>
    <row r="54" spans="1:6" x14ac:dyDescent="0.25">
      <c r="A54" t="s">
        <v>193</v>
      </c>
      <c r="B54" t="s">
        <v>213</v>
      </c>
    </row>
    <row r="55" spans="1:6" x14ac:dyDescent="0.25">
      <c r="A55">
        <v>0</v>
      </c>
      <c r="B55">
        <v>0</v>
      </c>
    </row>
    <row r="56" spans="1:6" x14ac:dyDescent="0.25">
      <c r="A56">
        <v>1</v>
      </c>
      <c r="B56">
        <v>1</v>
      </c>
    </row>
    <row r="57" spans="1:6" x14ac:dyDescent="0.25">
      <c r="A57">
        <v>5</v>
      </c>
      <c r="B57">
        <v>2</v>
      </c>
    </row>
    <row r="58" spans="1:6" x14ac:dyDescent="0.25">
      <c r="A58">
        <v>10</v>
      </c>
      <c r="B58">
        <v>3</v>
      </c>
    </row>
    <row r="59" spans="1:6" x14ac:dyDescent="0.25">
      <c r="A59">
        <v>15</v>
      </c>
      <c r="B59">
        <v>4</v>
      </c>
    </row>
    <row r="60" spans="1:6" x14ac:dyDescent="0.25">
      <c r="A60">
        <v>20</v>
      </c>
      <c r="B60">
        <v>5</v>
      </c>
    </row>
    <row r="61" spans="1:6" x14ac:dyDescent="0.25">
      <c r="A61">
        <v>25</v>
      </c>
      <c r="B61">
        <v>6</v>
      </c>
    </row>
    <row r="62" spans="1:6" x14ac:dyDescent="0.25">
      <c r="A62">
        <v>30</v>
      </c>
      <c r="B62">
        <v>7</v>
      </c>
    </row>
    <row r="63" spans="1:6" x14ac:dyDescent="0.25">
      <c r="A63">
        <v>35</v>
      </c>
      <c r="B63">
        <v>8</v>
      </c>
    </row>
    <row r="64" spans="1:6" x14ac:dyDescent="0.25">
      <c r="A64">
        <v>40</v>
      </c>
      <c r="B64">
        <v>9</v>
      </c>
    </row>
    <row r="65" spans="1:2" x14ac:dyDescent="0.25">
      <c r="A65">
        <v>45</v>
      </c>
      <c r="B65">
        <v>10</v>
      </c>
    </row>
  </sheetData>
  <sortState ref="F4:F13">
    <sortCondition descending="1" ref="F3"/>
  </sortState>
  <pageMargins left="0.7" right="0.7" top="0.75" bottom="0.75" header="0.3" footer="0.3"/>
  <legacy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F27" sqref="F27"/>
    </sheetView>
  </sheetViews>
  <sheetFormatPr defaultRowHeight="15" x14ac:dyDescent="0.25"/>
  <cols>
    <col min="1" max="1" width="25" bestFit="1" customWidth="1"/>
  </cols>
  <sheetData>
    <row r="1" spans="1:7" ht="21" x14ac:dyDescent="0.35">
      <c r="A1" s="80" t="s">
        <v>313</v>
      </c>
      <c r="B1" s="81" t="s">
        <v>283</v>
      </c>
      <c r="C1" s="81" t="s">
        <v>287</v>
      </c>
      <c r="D1" s="81" t="s">
        <v>284</v>
      </c>
      <c r="E1" s="81" t="s">
        <v>285</v>
      </c>
      <c r="F1" s="81" t="s">
        <v>286</v>
      </c>
      <c r="G1" s="81" t="s">
        <v>288</v>
      </c>
    </row>
    <row r="2" spans="1:7" x14ac:dyDescent="0.25">
      <c r="A2" s="82" t="s">
        <v>246</v>
      </c>
      <c r="B2" s="75">
        <v>0.9</v>
      </c>
      <c r="C2" s="75">
        <v>0.9</v>
      </c>
      <c r="D2" s="75">
        <v>0.9</v>
      </c>
      <c r="E2" s="75">
        <v>0.9</v>
      </c>
      <c r="F2" s="75">
        <v>0.5</v>
      </c>
      <c r="G2" s="75">
        <v>0.5</v>
      </c>
    </row>
    <row r="3" spans="1:7" x14ac:dyDescent="0.25">
      <c r="A3" s="83" t="s">
        <v>318</v>
      </c>
      <c r="B3" s="77">
        <v>0.7</v>
      </c>
      <c r="C3" s="77">
        <v>0.9</v>
      </c>
      <c r="D3" s="77">
        <v>0.6</v>
      </c>
      <c r="E3" s="77">
        <v>0.9</v>
      </c>
      <c r="F3" s="77">
        <v>0.5</v>
      </c>
      <c r="G3" s="77">
        <v>0.5</v>
      </c>
    </row>
    <row r="4" spans="1:7" x14ac:dyDescent="0.25">
      <c r="A4" s="84" t="s">
        <v>317</v>
      </c>
      <c r="B4" s="79">
        <v>0.7</v>
      </c>
      <c r="C4" s="79">
        <v>0.25</v>
      </c>
      <c r="D4" s="79">
        <v>0.9</v>
      </c>
      <c r="E4" s="79">
        <v>0.6</v>
      </c>
      <c r="F4" s="79">
        <v>0.5</v>
      </c>
      <c r="G4" s="79">
        <v>0.5</v>
      </c>
    </row>
    <row r="5" spans="1:7" x14ac:dyDescent="0.25">
      <c r="A5" s="87" t="s">
        <v>296</v>
      </c>
      <c r="B5" s="75">
        <v>0.7</v>
      </c>
      <c r="C5" s="75">
        <v>0.25</v>
      </c>
      <c r="D5" s="75">
        <v>0.6</v>
      </c>
      <c r="E5" s="75">
        <v>0.9</v>
      </c>
      <c r="F5" s="75">
        <v>0.9</v>
      </c>
      <c r="G5" s="75">
        <v>0.7</v>
      </c>
    </row>
    <row r="6" spans="1:7" x14ac:dyDescent="0.25">
      <c r="A6" s="88" t="s">
        <v>297</v>
      </c>
      <c r="B6" s="77">
        <v>0.9</v>
      </c>
      <c r="C6" s="77">
        <v>0.25</v>
      </c>
      <c r="D6" s="77">
        <v>0.6</v>
      </c>
      <c r="E6" s="77">
        <v>0.6</v>
      </c>
      <c r="F6" s="77">
        <v>0.5</v>
      </c>
      <c r="G6" s="77">
        <v>0.7</v>
      </c>
    </row>
    <row r="7" spans="1:7" x14ac:dyDescent="0.25">
      <c r="A7" s="88" t="s">
        <v>298</v>
      </c>
      <c r="B7" s="77">
        <v>0.7</v>
      </c>
      <c r="C7" s="77">
        <v>0.25</v>
      </c>
      <c r="D7" s="77">
        <v>0.9</v>
      </c>
      <c r="E7" s="77">
        <v>0.6</v>
      </c>
      <c r="F7" s="77">
        <v>0.9</v>
      </c>
      <c r="G7" s="77">
        <v>0.7</v>
      </c>
    </row>
    <row r="8" spans="1:7" x14ac:dyDescent="0.25">
      <c r="A8" s="88" t="s">
        <v>299</v>
      </c>
      <c r="B8" s="77">
        <v>0.7</v>
      </c>
      <c r="C8" s="77">
        <v>1</v>
      </c>
      <c r="D8" s="77">
        <v>0.6</v>
      </c>
      <c r="E8" s="77">
        <v>0.6</v>
      </c>
      <c r="F8" s="77">
        <v>0.5</v>
      </c>
      <c r="G8" s="77">
        <v>0.9</v>
      </c>
    </row>
    <row r="9" spans="1:7" s="3" customFormat="1" x14ac:dyDescent="0.25">
      <c r="A9" s="74" t="s">
        <v>289</v>
      </c>
      <c r="B9" s="75">
        <v>1</v>
      </c>
      <c r="C9" s="75">
        <v>0.25</v>
      </c>
      <c r="D9" s="75">
        <v>0.6</v>
      </c>
      <c r="E9" s="75">
        <v>0.6</v>
      </c>
      <c r="F9" s="75">
        <v>1</v>
      </c>
      <c r="G9" s="75">
        <v>0.7</v>
      </c>
    </row>
    <row r="10" spans="1:7" s="3" customFormat="1" x14ac:dyDescent="0.25">
      <c r="A10" s="76" t="s">
        <v>290</v>
      </c>
      <c r="B10" s="77">
        <v>0.7</v>
      </c>
      <c r="C10" s="77">
        <v>1</v>
      </c>
      <c r="D10" s="77">
        <v>0.6</v>
      </c>
      <c r="E10" s="77">
        <v>0.6</v>
      </c>
      <c r="F10" s="77">
        <v>0.5</v>
      </c>
      <c r="G10" s="77">
        <v>1</v>
      </c>
    </row>
    <row r="11" spans="1:7" s="3" customFormat="1" x14ac:dyDescent="0.25">
      <c r="A11" s="76" t="s">
        <v>294</v>
      </c>
      <c r="B11" s="77">
        <v>0.9</v>
      </c>
      <c r="C11" s="77">
        <v>0.25</v>
      </c>
      <c r="D11" s="77">
        <v>0.6</v>
      </c>
      <c r="E11" s="77">
        <v>0.6</v>
      </c>
      <c r="F11" s="77">
        <v>0.9</v>
      </c>
      <c r="G11" s="77">
        <v>0.9</v>
      </c>
    </row>
    <row r="12" spans="1:7" s="3" customFormat="1" x14ac:dyDescent="0.25">
      <c r="A12" s="76" t="s">
        <v>314</v>
      </c>
      <c r="B12" s="77">
        <v>0.9</v>
      </c>
      <c r="C12" s="77">
        <v>1</v>
      </c>
      <c r="D12" s="77">
        <v>0.6</v>
      </c>
      <c r="E12" s="77">
        <v>0.6</v>
      </c>
      <c r="F12" s="77">
        <v>0.9</v>
      </c>
      <c r="G12" s="77">
        <v>0.9</v>
      </c>
    </row>
    <row r="13" spans="1:7" s="3" customFormat="1" x14ac:dyDescent="0.25">
      <c r="A13" s="76" t="s">
        <v>301</v>
      </c>
      <c r="B13" s="77">
        <v>0.7</v>
      </c>
      <c r="C13" s="77">
        <v>0.25</v>
      </c>
      <c r="D13" s="77">
        <v>0.6</v>
      </c>
      <c r="E13" s="77">
        <v>0.6</v>
      </c>
      <c r="F13" s="77">
        <v>0.9</v>
      </c>
      <c r="G13" s="77">
        <v>0.7</v>
      </c>
    </row>
    <row r="14" spans="1:7" s="3" customFormat="1" x14ac:dyDescent="0.25">
      <c r="A14" s="76" t="s">
        <v>295</v>
      </c>
      <c r="B14" s="77">
        <v>0.9</v>
      </c>
      <c r="C14" s="77">
        <v>0.25</v>
      </c>
      <c r="D14" s="77">
        <v>0.6</v>
      </c>
      <c r="E14" s="77">
        <v>0.6</v>
      </c>
      <c r="F14" s="77">
        <v>0.9</v>
      </c>
      <c r="G14" s="77">
        <v>0.7</v>
      </c>
    </row>
    <row r="15" spans="1:7" s="3" customFormat="1" x14ac:dyDescent="0.25">
      <c r="A15" s="78" t="s">
        <v>300</v>
      </c>
      <c r="B15" s="79">
        <v>0.7</v>
      </c>
      <c r="C15" s="79">
        <v>0.9</v>
      </c>
      <c r="D15" s="79">
        <v>0.6</v>
      </c>
      <c r="E15" s="79">
        <v>0.6</v>
      </c>
      <c r="F15" s="79">
        <v>0.5</v>
      </c>
      <c r="G15" s="79">
        <v>0.9</v>
      </c>
    </row>
    <row r="16" spans="1:7" x14ac:dyDescent="0.25">
      <c r="A16" s="85" t="s">
        <v>291</v>
      </c>
      <c r="B16" s="77">
        <v>0.7</v>
      </c>
      <c r="C16" s="77">
        <v>0.5</v>
      </c>
      <c r="D16" s="77">
        <v>1</v>
      </c>
      <c r="E16" s="77">
        <v>1</v>
      </c>
      <c r="F16" s="77">
        <v>0.5</v>
      </c>
      <c r="G16" s="77">
        <v>0.5</v>
      </c>
    </row>
    <row r="17" spans="1:7" x14ac:dyDescent="0.25">
      <c r="A17" s="85" t="s">
        <v>292</v>
      </c>
      <c r="B17" s="77">
        <v>0.9</v>
      </c>
      <c r="C17" s="77">
        <v>0.5</v>
      </c>
      <c r="D17" s="77">
        <v>0.6</v>
      </c>
      <c r="E17" s="77">
        <v>0.6</v>
      </c>
      <c r="F17" s="77">
        <v>0.9</v>
      </c>
      <c r="G17" s="77">
        <v>0.5</v>
      </c>
    </row>
    <row r="18" spans="1:7" x14ac:dyDescent="0.25">
      <c r="A18" s="86" t="s">
        <v>293</v>
      </c>
      <c r="B18" s="79">
        <v>0.7</v>
      </c>
      <c r="C18" s="79">
        <v>0.9</v>
      </c>
      <c r="D18" s="79">
        <v>0.6</v>
      </c>
      <c r="E18" s="79">
        <v>0.9</v>
      </c>
      <c r="F18" s="79">
        <v>0.5</v>
      </c>
      <c r="G18" s="79">
        <v>0.5</v>
      </c>
    </row>
    <row r="19" spans="1:7" x14ac:dyDescent="0.25">
      <c r="A19" s="89" t="s">
        <v>302</v>
      </c>
      <c r="B19" s="75">
        <v>0.9</v>
      </c>
      <c r="C19" s="75">
        <v>0.25</v>
      </c>
      <c r="D19" s="75">
        <v>0.9</v>
      </c>
      <c r="E19" s="75">
        <v>0.6</v>
      </c>
      <c r="F19" s="75">
        <v>0.5</v>
      </c>
      <c r="G19" s="75">
        <v>1</v>
      </c>
    </row>
    <row r="20" spans="1:7" x14ac:dyDescent="0.25">
      <c r="A20" s="90" t="s">
        <v>303</v>
      </c>
      <c r="B20" s="91">
        <v>0.7</v>
      </c>
      <c r="C20" s="79">
        <v>0.25</v>
      </c>
      <c r="D20" s="91">
        <v>0.9</v>
      </c>
      <c r="E20" s="79">
        <v>0.6</v>
      </c>
      <c r="F20" s="79">
        <v>0.5</v>
      </c>
      <c r="G20" s="79">
        <v>0.9</v>
      </c>
    </row>
    <row r="21" spans="1:7" x14ac:dyDescent="0.25">
      <c r="A21" s="92" t="s">
        <v>304</v>
      </c>
      <c r="B21" s="93">
        <v>0.7</v>
      </c>
      <c r="C21" s="75">
        <v>0.25</v>
      </c>
      <c r="D21" s="93">
        <v>0.9</v>
      </c>
      <c r="E21" s="75">
        <v>0.9</v>
      </c>
      <c r="F21" s="75">
        <v>0.5</v>
      </c>
      <c r="G21" s="75">
        <v>0.7</v>
      </c>
    </row>
    <row r="22" spans="1:7" x14ac:dyDescent="0.25">
      <c r="A22" s="94" t="s">
        <v>305</v>
      </c>
      <c r="B22" s="91">
        <v>0.7</v>
      </c>
      <c r="C22" s="79">
        <v>0.25</v>
      </c>
      <c r="D22" s="91">
        <v>0.6</v>
      </c>
      <c r="E22" s="79">
        <v>0.6</v>
      </c>
      <c r="F22" s="79">
        <v>0.5</v>
      </c>
      <c r="G22" s="79">
        <v>0.7</v>
      </c>
    </row>
    <row r="23" spans="1:7" x14ac:dyDescent="0.25">
      <c r="A23" s="95" t="s">
        <v>310</v>
      </c>
      <c r="B23" s="93">
        <v>0.7</v>
      </c>
      <c r="C23" s="75">
        <v>0.9</v>
      </c>
      <c r="D23" s="93">
        <v>0.9</v>
      </c>
      <c r="E23" s="75">
        <v>0.2</v>
      </c>
      <c r="F23" s="75">
        <v>0.5</v>
      </c>
      <c r="G23" s="75">
        <v>1</v>
      </c>
    </row>
    <row r="24" spans="1:7" x14ac:dyDescent="0.25">
      <c r="A24" s="96" t="s">
        <v>311</v>
      </c>
      <c r="B24" s="91">
        <v>0.7</v>
      </c>
      <c r="C24" s="79">
        <v>0.25</v>
      </c>
      <c r="D24" s="91">
        <v>0.6</v>
      </c>
      <c r="E24" s="79">
        <v>0.2</v>
      </c>
      <c r="F24" s="79">
        <v>0.5</v>
      </c>
      <c r="G24" s="79">
        <v>0.9</v>
      </c>
    </row>
    <row r="25" spans="1:7" x14ac:dyDescent="0.25">
      <c r="A25" s="97" t="s">
        <v>306</v>
      </c>
      <c r="B25" s="93">
        <v>0.7</v>
      </c>
      <c r="C25" s="75">
        <v>0.25</v>
      </c>
      <c r="D25" s="93">
        <v>0.6</v>
      </c>
      <c r="E25" s="75">
        <v>0.6</v>
      </c>
      <c r="F25" s="75">
        <v>0.9</v>
      </c>
      <c r="G25" s="75">
        <v>0.9</v>
      </c>
    </row>
    <row r="26" spans="1:7" x14ac:dyDescent="0.25">
      <c r="A26" s="98" t="s">
        <v>307</v>
      </c>
      <c r="B26" s="99">
        <v>0.7</v>
      </c>
      <c r="C26" s="77">
        <v>0.25</v>
      </c>
      <c r="D26" s="99">
        <v>0.6</v>
      </c>
      <c r="E26" s="77">
        <v>0.9</v>
      </c>
      <c r="F26" s="77">
        <v>0.9</v>
      </c>
      <c r="G26" s="77">
        <v>0.7</v>
      </c>
    </row>
    <row r="27" spans="1:7" x14ac:dyDescent="0.25">
      <c r="A27" s="98" t="s">
        <v>308</v>
      </c>
      <c r="B27" s="99">
        <v>0.7</v>
      </c>
      <c r="C27" s="77">
        <v>0.5</v>
      </c>
      <c r="D27" s="99">
        <v>0.6</v>
      </c>
      <c r="E27" s="77">
        <v>0.9</v>
      </c>
      <c r="F27" s="77">
        <v>0.5</v>
      </c>
      <c r="G27" s="77">
        <v>0.7</v>
      </c>
    </row>
    <row r="28" spans="1:7" x14ac:dyDescent="0.25">
      <c r="A28" s="100" t="s">
        <v>309</v>
      </c>
      <c r="B28" s="91">
        <v>0.7</v>
      </c>
      <c r="C28" s="79">
        <v>0.5</v>
      </c>
      <c r="D28" s="91">
        <v>0.6</v>
      </c>
      <c r="E28" s="79">
        <v>0.6</v>
      </c>
      <c r="F28" s="79">
        <v>0.5</v>
      </c>
      <c r="G28" s="79">
        <v>0.9</v>
      </c>
    </row>
    <row r="29" spans="1:7" x14ac:dyDescent="0.25">
      <c r="A29" s="101" t="s">
        <v>312</v>
      </c>
      <c r="B29" s="102">
        <v>0.7</v>
      </c>
      <c r="C29" s="103">
        <v>1</v>
      </c>
      <c r="D29" s="102">
        <v>0.6</v>
      </c>
      <c r="E29" s="103">
        <v>0.6</v>
      </c>
      <c r="F29" s="103">
        <v>0.9</v>
      </c>
      <c r="G29" s="103">
        <v>0.7</v>
      </c>
    </row>
    <row r="30" spans="1:7" x14ac:dyDescent="0.25">
      <c r="A30" s="104" t="s">
        <v>315</v>
      </c>
      <c r="B30" s="77">
        <v>0.7</v>
      </c>
      <c r="C30" s="77">
        <v>0.9</v>
      </c>
      <c r="D30" s="77">
        <v>0.6</v>
      </c>
      <c r="E30" s="77">
        <v>0.6</v>
      </c>
      <c r="F30" s="77">
        <v>0.5</v>
      </c>
      <c r="G30" s="77">
        <v>0.7</v>
      </c>
    </row>
    <row r="31" spans="1:7" x14ac:dyDescent="0.25">
      <c r="A31" s="105" t="s">
        <v>316</v>
      </c>
      <c r="B31" s="103">
        <v>0.7</v>
      </c>
      <c r="C31" s="103">
        <v>0.25</v>
      </c>
      <c r="D31" s="103">
        <v>0.6</v>
      </c>
      <c r="E31" s="103">
        <v>0.6</v>
      </c>
      <c r="F31" s="103">
        <v>0.9</v>
      </c>
      <c r="G31" s="103">
        <v>0.7</v>
      </c>
    </row>
  </sheetData>
  <conditionalFormatting sqref="D17:D18 D4 D13:D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G16 D3:G3 B2:G2 B3:C4 B30:G30 B5:G12 C19:C29 E4:G9 E13:G29 B13:C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G16 B10:G12 D19:G22 D3:G3 D5:G9 E4:G9 B2:G2 B3:C9 B23:G30 B13:C22 E13:G2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Alt_Dmg_Table</vt:lpstr>
      <vt:lpstr>Large_Weapon_Damage_Table</vt:lpstr>
      <vt:lpstr>Medium_Weapon_Damage_Table</vt:lpstr>
      <vt:lpstr>Mine_Dmg_Table</vt:lpstr>
      <vt:lpstr>mine_range_table</vt:lpstr>
      <vt:lpstr>Missile_Damage_Table</vt:lpstr>
      <vt:lpstr>Projector_Weapon_Damage_Table</vt:lpstr>
      <vt:lpstr>Small_Weapon_Damage_Table</vt:lpstr>
      <vt:lpstr>Standard_Accuracy_Table</vt:lpstr>
      <vt:lpstr>Standard_F_Rates</vt:lpstr>
      <vt:lpstr>Standard_Range_Table</vt:lpstr>
      <vt:lpstr>standard_weapons</vt:lpstr>
      <vt:lpstr>Torpedo_Weapon_Damage_Table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Wolf</dc:creator>
  <cp:lastModifiedBy>Steven Wolf</cp:lastModifiedBy>
  <dcterms:created xsi:type="dcterms:W3CDTF">2015-11-13T20:29:47Z</dcterms:created>
  <dcterms:modified xsi:type="dcterms:W3CDTF">2016-11-28T03:17:34Z</dcterms:modified>
</cp:coreProperties>
</file>