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571"/>
  <fileSharing readOnlyRecommended="1" userName="WVOT" algorithmName="SHA-512" hashValue="ThtzLI+dWYNnrxH1utcr9grwk0eBrjcOMcR8p7ZoDj+oHilMEW3A9Ks5mN0vYsr4UgIGUzgupD+Abt84D4DIRQ==" saltValue="YISXfhroyBSZgz3XNVNFNw==" spinCount="100000"/>
  <workbookPr showInkAnnotation="0" defaultThemeVersion="124226"/>
  <mc:AlternateContent xmlns:mc="http://schemas.openxmlformats.org/markup-compatibility/2006">
    <mc:Choice Requires="x15">
      <x15ac:absPath xmlns:x15ac="http://schemas.microsoft.com/office/spreadsheetml/2010/11/ac" url="C:\Users\c330716.EXECUTIVE\Documents\Code\electronic-field-guide\app\docs\septic\ref\"/>
    </mc:Choice>
  </mc:AlternateContent>
  <workbookProtection workbookPassword="DE85" lockStructure="1"/>
  <bookViews>
    <workbookView xWindow="0" yWindow="195" windowWidth="22980" windowHeight="9405" activeTab="1"/>
  </bookViews>
  <sheets>
    <sheet name="Standard Dwelling" sheetId="1" r:id="rId1"/>
    <sheet name="Establishment not dwelling" sheetId="2" r:id="rId2"/>
    <sheet name="LPP Sizing Standard" sheetId="3" r:id="rId3"/>
    <sheet name="LPP Sizing Other" sheetId="7" r:id="rId4"/>
    <sheet name="Sloopie Calculator" sheetId="4" r:id="rId5"/>
    <sheet name="Tank Capacity" sheetId="5" r:id="rId6"/>
    <sheet name="Chamber Specs" sheetId="6" r:id="rId7"/>
  </sheets>
  <definedNames>
    <definedName name="_xlnm.Print_Area" localSheetId="6">'Chamber Specs'!$A$1:$H$19</definedName>
    <definedName name="_xlnm.Print_Area" localSheetId="1">'Establishment not dwelling'!$A$1:$K$16</definedName>
    <definedName name="_xlnm.Print_Area" localSheetId="2">'LPP Sizing Standard'!$A$1:$I$18</definedName>
    <definedName name="_xlnm.Print_Area" localSheetId="0">'Standard Dwelling'!$A$1:$L$17</definedName>
  </definedNames>
  <calcPr calcId="171027"/>
</workbook>
</file>

<file path=xl/calcChain.xml><?xml version="1.0" encoding="utf-8"?>
<calcChain xmlns="http://schemas.openxmlformats.org/spreadsheetml/2006/main">
  <c r="F3" i="7" l="1"/>
  <c r="F16" i="7"/>
  <c r="F17" i="7" s="1"/>
  <c r="B17" i="7" s="1"/>
  <c r="F12" i="7"/>
  <c r="F6" i="7"/>
  <c r="A2" i="7" l="1"/>
  <c r="F4" i="7"/>
  <c r="F7" i="7"/>
  <c r="F9" i="7" s="1"/>
  <c r="A1" i="7"/>
  <c r="F5" i="7"/>
  <c r="J16" i="2"/>
  <c r="F10" i="7" l="1"/>
  <c r="F11" i="7" s="1"/>
  <c r="F13" i="7"/>
  <c r="F8" i="7"/>
  <c r="F14" i="7" s="1"/>
  <c r="F15" i="7" s="1"/>
  <c r="B16" i="7" s="1"/>
  <c r="G18" i="6"/>
  <c r="G17" i="6"/>
  <c r="G16" i="6"/>
  <c r="G15" i="6"/>
  <c r="G13" i="6"/>
  <c r="J10" i="6"/>
  <c r="J9" i="6"/>
  <c r="G14" i="6"/>
  <c r="D15" i="6"/>
  <c r="J16" i="1" l="1"/>
  <c r="F18" i="6" l="1"/>
  <c r="E18" i="6"/>
  <c r="D18" i="6"/>
  <c r="C18" i="6"/>
  <c r="F17" i="6"/>
  <c r="E17" i="6"/>
  <c r="D17" i="6"/>
  <c r="C17" i="6"/>
  <c r="F16" i="6"/>
  <c r="E16" i="6"/>
  <c r="D16" i="6"/>
  <c r="C16" i="6"/>
  <c r="F15" i="6"/>
  <c r="E15" i="6"/>
  <c r="C15" i="6"/>
  <c r="F14" i="6"/>
  <c r="E14" i="6"/>
  <c r="D14" i="6"/>
  <c r="C14" i="6"/>
  <c r="F13" i="6"/>
  <c r="E13" i="6"/>
  <c r="D13" i="6"/>
  <c r="C13" i="6"/>
  <c r="H14" i="1" l="1"/>
  <c r="C8" i="1" l="1"/>
  <c r="D22" i="5" l="1"/>
  <c r="D16" i="5" l="1"/>
  <c r="D8" i="5" l="1"/>
  <c r="C12" i="4" l="1"/>
  <c r="C6" i="4"/>
  <c r="C9" i="2" l="1"/>
  <c r="C10" i="2" s="1"/>
  <c r="G16" i="3"/>
  <c r="G17" i="3" s="1"/>
  <c r="C17" i="3" s="1"/>
  <c r="G12" i="3"/>
  <c r="G6" i="3"/>
  <c r="N4" i="3"/>
  <c r="G4" i="3"/>
  <c r="N3" i="3"/>
  <c r="G3" i="3"/>
  <c r="B12" i="1"/>
  <c r="C9" i="1"/>
  <c r="B14" i="1"/>
  <c r="J9" i="1" l="1"/>
  <c r="J12" i="1"/>
  <c r="H13" i="1"/>
  <c r="H9" i="1"/>
  <c r="J11" i="1"/>
  <c r="H12" i="1"/>
  <c r="J10" i="1"/>
  <c r="H11" i="1"/>
  <c r="J13" i="1"/>
  <c r="H10" i="1"/>
  <c r="J3" i="1"/>
  <c r="J7" i="1" s="1"/>
  <c r="B16" i="2"/>
  <c r="G7" i="3"/>
  <c r="G9" i="3" s="1"/>
  <c r="G10" i="3" s="1"/>
  <c r="G11" i="3" s="1"/>
  <c r="B13" i="1"/>
  <c r="B2" i="3"/>
  <c r="B15" i="2"/>
  <c r="B13" i="2"/>
  <c r="H14" i="2" s="1"/>
  <c r="G5" i="3"/>
  <c r="B1" i="3"/>
  <c r="H3" i="1"/>
  <c r="D12" i="1"/>
  <c r="J13" i="2" l="1"/>
  <c r="J9" i="2"/>
  <c r="H10" i="2"/>
  <c r="J12" i="2"/>
  <c r="H13" i="2"/>
  <c r="H9" i="2"/>
  <c r="J11" i="2"/>
  <c r="H12" i="2"/>
  <c r="J3" i="2"/>
  <c r="J10" i="2"/>
  <c r="H11" i="2"/>
  <c r="H3" i="2"/>
  <c r="J5" i="1"/>
  <c r="J4" i="1"/>
  <c r="G8" i="3"/>
  <c r="G14" i="3" s="1"/>
  <c r="G15" i="3" s="1"/>
  <c r="C16" i="3" s="1"/>
  <c r="G13" i="3"/>
  <c r="D13" i="2"/>
  <c r="H6" i="1"/>
  <c r="H5" i="1"/>
  <c r="H4" i="1"/>
  <c r="H6" i="2" l="1"/>
  <c r="H5" i="2"/>
  <c r="H4" i="2"/>
  <c r="J5" i="2"/>
  <c r="J7" i="2"/>
  <c r="J4" i="2"/>
</calcChain>
</file>

<file path=xl/sharedStrings.xml><?xml version="1.0" encoding="utf-8"?>
<sst xmlns="http://schemas.openxmlformats.org/spreadsheetml/2006/main" count="326" uniqueCount="157">
  <si>
    <r>
      <t>Fred's Figurer-Upper</t>
    </r>
    <r>
      <rPr>
        <b/>
        <vertAlign val="subscript"/>
        <sz val="8"/>
        <color theme="9" tint="-0.499984740745262"/>
        <rFont val="Comic Sans MS"/>
        <family val="4"/>
      </rPr>
      <t xml:space="preserve"> June 2011</t>
    </r>
  </si>
  <si>
    <t xml:space="preserve">              Other Than Single-Family Dwelling</t>
  </si>
  <si>
    <t xml:space="preserve">              Sizing for Single-Family Dwelling</t>
  </si>
  <si>
    <t>Perc time:</t>
  </si>
  <si>
    <t>minutes per inch</t>
  </si>
  <si>
    <t>Number of people:</t>
  </si>
  <si>
    <t>Bedrooms:</t>
  </si>
  <si>
    <t>Estimate GPD/person:</t>
  </si>
  <si>
    <t>Estimated Gallons per day:</t>
  </si>
  <si>
    <t>Gallons per day:</t>
  </si>
  <si>
    <t>Septic Tank Size:</t>
  </si>
  <si>
    <t>gallons</t>
  </si>
  <si>
    <t xml:space="preserve"> </t>
  </si>
  <si>
    <t>Square footage needed:</t>
  </si>
  <si>
    <t xml:space="preserve">        Square footage needed for bed:</t>
  </si>
  <si>
    <t xml:space="preserve">         Square footage needed for bed:</t>
  </si>
  <si>
    <t>two foot wide trench or equivalent</t>
  </si>
  <si>
    <t>three foot wide trench or equivalent</t>
  </si>
  <si>
    <t>gravel</t>
  </si>
  <si>
    <t>chamber</t>
  </si>
  <si>
    <t>8" gravelless</t>
  </si>
  <si>
    <t>10" gravelless</t>
  </si>
  <si>
    <t>units</t>
  </si>
  <si>
    <t>ADS Arc 36</t>
  </si>
  <si>
    <t xml:space="preserve">GPD </t>
  </si>
  <si>
    <t>supply line volume</t>
  </si>
  <si>
    <t>Perculation time:</t>
  </si>
  <si>
    <t>Size of septic tank:</t>
  </si>
  <si>
    <t>lateral volume</t>
  </si>
  <si>
    <t>Size of pumping tank:</t>
  </si>
  <si>
    <t>Spacing between laterals (lines):</t>
  </si>
  <si>
    <t>feet</t>
  </si>
  <si>
    <t>Maximum Loading Rate:</t>
  </si>
  <si>
    <r>
      <t>gpd/ft</t>
    </r>
    <r>
      <rPr>
        <b/>
        <vertAlign val="superscript"/>
        <sz val="8"/>
        <color theme="1"/>
        <rFont val="Calibri"/>
        <family val="2"/>
        <scheme val="minor"/>
      </rPr>
      <t>2</t>
    </r>
  </si>
  <si>
    <t>c=</t>
  </si>
  <si>
    <t>where C is a Hazen-Williams roughness coefficient for PVC pipe</t>
  </si>
  <si>
    <t>Dosing hole spacing:</t>
  </si>
  <si>
    <t>Total Area Needed:</t>
  </si>
  <si>
    <r>
      <t>ft</t>
    </r>
    <r>
      <rPr>
        <b/>
        <vertAlign val="superscript"/>
        <sz val="8"/>
        <color theme="1"/>
        <rFont val="Calibri"/>
        <family val="2"/>
        <scheme val="minor"/>
      </rPr>
      <t>2</t>
    </r>
  </si>
  <si>
    <t>q=</t>
  </si>
  <si>
    <t>where q is the flow in gpm</t>
  </si>
  <si>
    <t>Dosing hole size:</t>
  </si>
  <si>
    <t>thirty-seconds</t>
  </si>
  <si>
    <t>Number of dosing holes:</t>
  </si>
  <si>
    <t>holes</t>
  </si>
  <si>
    <t>d=</t>
  </si>
  <si>
    <t>where d is the inside diameter of the pipe</t>
  </si>
  <si>
    <t>Pressure head:</t>
  </si>
  <si>
    <t>Lineal Feet Needed:</t>
  </si>
  <si>
    <t>Elevation head:</t>
  </si>
  <si>
    <r>
      <rPr>
        <b/>
        <sz val="8"/>
        <color theme="1"/>
        <rFont val="Calibri"/>
        <family val="2"/>
        <scheme val="minor"/>
      </rPr>
      <t>Gravel Needed to fill a six-inch</t>
    </r>
    <r>
      <rPr>
        <b/>
        <sz val="6"/>
        <color theme="1"/>
        <rFont val="Calibri"/>
        <family val="2"/>
        <scheme val="minor"/>
      </rPr>
      <t xml:space="preserve"> </t>
    </r>
  </si>
  <si>
    <t>yards or</t>
  </si>
  <si>
    <t>f=</t>
  </si>
  <si>
    <t>where f is the friction loss in ft per 100 ft of pipe</t>
  </si>
  <si>
    <t>Dosing Pipe Diameter:</t>
  </si>
  <si>
    <t>inch</t>
  </si>
  <si>
    <t xml:space="preserve"> wide trench six inches deep:</t>
  </si>
  <si>
    <t xml:space="preserve">    tons</t>
  </si>
  <si>
    <t>Dosing frequency:</t>
  </si>
  <si>
    <t>per day</t>
  </si>
  <si>
    <t>Flow rate per hole:</t>
  </si>
  <si>
    <t>GPM</t>
  </si>
  <si>
    <t>Minimum volume per dose:</t>
  </si>
  <si>
    <t>based upon Hazen-Williams formula shown below</t>
  </si>
  <si>
    <t>Total flow rate:</t>
  </si>
  <si>
    <t>Total flow rate with 1/4" siphon-breaker hole:</t>
  </si>
  <si>
    <t>f = 0.2083 (100/c)^1.852 q^ 1.852 / d^4.8655</t>
  </si>
  <si>
    <t>GPM at</t>
  </si>
  <si>
    <t>Friction head:</t>
  </si>
  <si>
    <t>a total head of</t>
  </si>
  <si>
    <t>FEET.</t>
  </si>
  <si>
    <t>Total head:</t>
  </si>
  <si>
    <t>Septic tank size:</t>
  </si>
  <si>
    <t>GPD</t>
  </si>
  <si>
    <t>Gallons</t>
  </si>
  <si>
    <t>Fred's Sewage System Figurer-Upper</t>
  </si>
  <si>
    <t>Buy a pump that can exceed</t>
  </si>
  <si>
    <t>2" SCH-40 Supply line length:</t>
  </si>
  <si>
    <t xml:space="preserve">   Sloopie Calculator - FRB March 2006</t>
  </si>
  <si>
    <t>Enter degrees:</t>
  </si>
  <si>
    <t>% Slope is:</t>
  </si>
  <si>
    <t>Enter slope %:</t>
  </si>
  <si>
    <t>Degrees is:</t>
  </si>
  <si>
    <t>Written for Jonathan Graziani</t>
  </si>
  <si>
    <t>Interior Length in inches:</t>
  </si>
  <si>
    <t>Interior width in inches:</t>
  </si>
  <si>
    <t>Depth from bottom of the tank to the bottom of the outlet in inches:</t>
  </si>
  <si>
    <t>Capacity in Gallons:</t>
  </si>
  <si>
    <t xml:space="preserve">     WV Standard Septic Tank Soil Absorption System</t>
  </si>
  <si>
    <t xml:space="preserve">     WV Single Absorption System Sizing for Establishment </t>
  </si>
  <si>
    <r>
      <t xml:space="preserve">  WV LPP - </t>
    </r>
    <r>
      <rPr>
        <b/>
        <sz val="9"/>
        <color theme="3" tint="-0.249977111117893"/>
        <rFont val="Comic Sans MS"/>
        <family val="4"/>
      </rPr>
      <t>Low Pressure Pipe Sizing</t>
    </r>
    <r>
      <rPr>
        <b/>
        <sz val="6"/>
        <color theme="3" tint="-0.249977111117893"/>
        <rFont val="Comic Sans MS"/>
        <family val="4"/>
      </rPr>
      <t xml:space="preserve"> </t>
    </r>
    <r>
      <rPr>
        <b/>
        <sz val="4"/>
        <color theme="3" tint="-0.249977111117893"/>
        <rFont val="Comic Sans MS"/>
        <family val="4"/>
      </rPr>
      <t>July 2011</t>
    </r>
  </si>
  <si>
    <t xml:space="preserve"> Septic Tank Capacity Calculator</t>
  </si>
  <si>
    <t>Depth from bottom of the tank to the bottom</t>
  </si>
  <si>
    <t>of the outlet in inches:</t>
  </si>
  <si>
    <t>Capacity of tank:</t>
  </si>
  <si>
    <t>Volume per dose:</t>
  </si>
  <si>
    <t>inches</t>
  </si>
  <si>
    <t>Interior length of tank:</t>
  </si>
  <si>
    <t>Interior width of tank:</t>
  </si>
  <si>
    <t>Depth of dose:</t>
  </si>
  <si>
    <r>
      <t xml:space="preserve">  Dosing depth Calculator </t>
    </r>
    <r>
      <rPr>
        <sz val="10"/>
        <color theme="1"/>
        <rFont val="Comic Sans MS"/>
        <family val="4"/>
      </rPr>
      <t>Method #1</t>
    </r>
  </si>
  <si>
    <r>
      <t xml:space="preserve">   Dosing depth Calculator </t>
    </r>
    <r>
      <rPr>
        <sz val="10"/>
        <color theme="1"/>
        <rFont val="Comic Sans MS"/>
        <family val="4"/>
      </rPr>
      <t>Method #2</t>
    </r>
  </si>
  <si>
    <t>ADS Bio 2</t>
  </si>
  <si>
    <t>ADS Bio 3</t>
  </si>
  <si>
    <t>4'</t>
  </si>
  <si>
    <t>5'</t>
  </si>
  <si>
    <t>6.25'</t>
  </si>
  <si>
    <t>7.14'</t>
  </si>
  <si>
    <t>18"</t>
  </si>
  <si>
    <t>24"</t>
  </si>
  <si>
    <t>36"</t>
  </si>
  <si>
    <t>18" LP</t>
  </si>
  <si>
    <t>24" LP</t>
  </si>
  <si>
    <t>36" LP</t>
  </si>
  <si>
    <t>Units Approved For Use in West Virginia</t>
  </si>
  <si>
    <t>ADS BioDiffuser 11" Standard</t>
  </si>
  <si>
    <t>ADS Arc 18</t>
  </si>
  <si>
    <t>ADS Arc 24</t>
  </si>
  <si>
    <t xml:space="preserve">ADS Arc 36 LP </t>
  </si>
  <si>
    <t>Infiltrator (Quick4 EQ24, Quick4 Plus EQ 24)</t>
  </si>
  <si>
    <t>Infiltrator (Quick4 EQ36, Quick4 Plus EQ 36)</t>
  </si>
  <si>
    <t>Infiltrator (Quick4 Standard, Quick4 Plus Standard)</t>
  </si>
  <si>
    <t xml:space="preserve">low profile chamber </t>
  </si>
  <si>
    <t>18" wide x 5' long</t>
  </si>
  <si>
    <t xml:space="preserve">18" wide x 7.14' long </t>
  </si>
  <si>
    <t>24" wide x 4' long</t>
  </si>
  <si>
    <t>24" wide x 5' long</t>
  </si>
  <si>
    <t>36" wide x 4' long</t>
  </si>
  <si>
    <t>36" wide x 5' long</t>
  </si>
  <si>
    <t>36" wide x 6.25' long</t>
  </si>
  <si>
    <t>ft</t>
  </si>
  <si>
    <t>Lineal Feet needed</t>
  </si>
  <si>
    <r>
      <t>Number of Units needed</t>
    </r>
    <r>
      <rPr>
        <b/>
        <i/>
        <sz val="9"/>
        <color theme="1"/>
        <rFont val="Calibri"/>
        <family val="2"/>
        <scheme val="minor"/>
      </rPr>
      <t xml:space="preserve"> </t>
    </r>
    <r>
      <rPr>
        <b/>
        <i/>
        <sz val="8"/>
        <color theme="1"/>
        <rFont val="Calibri"/>
        <family val="2"/>
        <scheme val="minor"/>
      </rPr>
      <t>(for laterals only - not beds)</t>
    </r>
  </si>
  <si>
    <t>24" wide x 7.14' long</t>
  </si>
  <si>
    <t>Units for bed</t>
  </si>
  <si>
    <r>
      <t xml:space="preserve">BEDS         </t>
    </r>
    <r>
      <rPr>
        <b/>
        <sz val="8"/>
        <color theme="1"/>
        <rFont val="Calibri"/>
        <family val="2"/>
        <scheme val="minor"/>
      </rPr>
      <t>Eljen GSF</t>
    </r>
  </si>
  <si>
    <t>enter units from above</t>
  </si>
  <si>
    <t xml:space="preserve">For a chamber bed, </t>
  </si>
  <si>
    <r>
      <t xml:space="preserve">modules </t>
    </r>
    <r>
      <rPr>
        <i/>
        <sz val="8"/>
        <color theme="1"/>
        <rFont val="Calibri"/>
        <family val="2"/>
        <scheme val="minor"/>
      </rPr>
      <t>(minimum)</t>
    </r>
  </si>
  <si>
    <r>
      <t>36" wide</t>
    </r>
    <r>
      <rPr>
        <b/>
        <sz val="5"/>
        <color rgb="FFFF0000"/>
        <rFont val="Calibri"/>
        <family val="2"/>
        <scheme val="minor"/>
      </rPr>
      <t xml:space="preserve"> </t>
    </r>
    <r>
      <rPr>
        <b/>
        <u/>
        <sz val="5"/>
        <color rgb="FFFF0000"/>
        <rFont val="Calibri"/>
        <family val="2"/>
        <scheme val="minor"/>
      </rPr>
      <t>(low profile)</t>
    </r>
    <r>
      <rPr>
        <b/>
        <sz val="5"/>
        <color theme="1"/>
        <rFont val="Calibri"/>
        <family val="2"/>
        <scheme val="minor"/>
      </rPr>
      <t xml:space="preserve"> x 4' long</t>
    </r>
  </si>
  <si>
    <r>
      <t xml:space="preserve">36" wide </t>
    </r>
    <r>
      <rPr>
        <b/>
        <u/>
        <sz val="5"/>
        <color rgb="FFFF0000"/>
        <rFont val="Calibri"/>
        <family val="2"/>
        <scheme val="minor"/>
      </rPr>
      <t>(low profile)</t>
    </r>
    <r>
      <rPr>
        <b/>
        <sz val="5"/>
        <color theme="1"/>
        <rFont val="Calibri"/>
        <family val="2"/>
        <scheme val="minor"/>
      </rPr>
      <t xml:space="preserve"> x 5' long</t>
    </r>
  </si>
  <si>
    <t>8.33'</t>
  </si>
  <si>
    <t>Infiltrator Equilizer 36</t>
  </si>
  <si>
    <t>For chambers not listed, enter the nominal width and length below for square footage equivalency per unit</t>
  </si>
  <si>
    <t>WIDTH</t>
  </si>
  <si>
    <t>LENGTH</t>
  </si>
  <si>
    <t>EQUIVALENCY</t>
  </si>
  <si>
    <t>square feet</t>
  </si>
  <si>
    <t>Low Profile Equivalency</t>
  </si>
  <si>
    <r>
      <t xml:space="preserve">Square footage Equivalency per unit </t>
    </r>
    <r>
      <rPr>
        <b/>
        <i/>
        <sz val="11"/>
        <color theme="1"/>
        <rFont val="Calibri"/>
        <family val="2"/>
        <scheme val="minor"/>
      </rPr>
      <t>(rounded to one decimal)</t>
    </r>
  </si>
  <si>
    <t>When calculating how many</t>
  </si>
  <si>
    <r>
      <t>units you will need,</t>
    </r>
    <r>
      <rPr>
        <b/>
        <i/>
        <sz val="11"/>
        <color theme="1"/>
        <rFont val="Calibri"/>
        <family val="2"/>
        <scheme val="minor"/>
      </rPr>
      <t xml:space="preserve"> always</t>
    </r>
  </si>
  <si>
    <t>needed, then use 18 units.</t>
  </si>
  <si>
    <r>
      <rPr>
        <b/>
        <i/>
        <sz val="11"/>
        <color theme="1"/>
        <rFont val="Calibri"/>
        <family val="2"/>
        <scheme val="minor"/>
      </rPr>
      <t xml:space="preserve">round </t>
    </r>
    <r>
      <rPr>
        <b/>
        <i/>
        <u/>
        <sz val="11"/>
        <color theme="1"/>
        <rFont val="Calibri"/>
        <family val="2"/>
        <scheme val="minor"/>
      </rPr>
      <t>UP</t>
    </r>
    <r>
      <rPr>
        <sz val="11"/>
        <color theme="1"/>
        <rFont val="Calibri"/>
        <family val="2"/>
        <scheme val="minor"/>
      </rPr>
      <t>.  If you show 17.2 units</t>
    </r>
  </si>
  <si>
    <t>N/A</t>
  </si>
  <si>
    <t>Gallons per Day:</t>
  </si>
  <si>
    <r>
      <t xml:space="preserve">  WV LPP - For other than dwelling</t>
    </r>
    <r>
      <rPr>
        <b/>
        <sz val="6"/>
        <color theme="3" tint="-0.249977111117893"/>
        <rFont val="Comic Sans MS"/>
        <family val="4"/>
      </rPr>
      <t xml:space="preserve"> </t>
    </r>
    <r>
      <rPr>
        <b/>
        <sz val="4"/>
        <color theme="3" tint="-0.249977111117893"/>
        <rFont val="Comic Sans MS"/>
        <family val="4"/>
      </rPr>
      <t>Sept 2011</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</si>
</sst>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 ?/2"/>
    <numFmt numFmtId="165" formatCode="#,##0.0"/>
    <numFmt numFmtId="166" formatCode="#\ ?/4"/>
    <numFmt numFmtId="167" formatCode="0.0"/>
  </numFmts>
  <fonts count="51" x14ac:knownFonts="1">
    <font>
      <sz val="11"/>
      <color theme="1"/>
      <name val="Calibri"/>
      <family val="2"/>
      <scheme val="minor"/>
    </font>
    <font>
      <b/>
      <sz val="11"/>
      <color theme="1"/>
      <name val="Calibri"/>
      <family val="2"/>
      <scheme val="minor"/>
    </font>
    <font>
      <b/>
      <sz val="12"/>
      <color theme="9" tint="-0.499984740745262"/>
      <name val="Comic Sans MS"/>
      <family val="4"/>
    </font>
    <font>
      <b/>
      <vertAlign val="subscript"/>
      <sz val="8"/>
      <color theme="9" tint="-0.499984740745262"/>
      <name val="Comic Sans MS"/>
      <family val="4"/>
    </font>
    <font>
      <sz val="6"/>
      <color theme="1"/>
      <name val="Calibri"/>
      <family val="2"/>
      <scheme val="minor"/>
    </font>
    <font>
      <b/>
      <sz val="8"/>
      <color theme="9" tint="-0.499984740745262"/>
      <name val="Comic Sans MS"/>
      <family val="4"/>
    </font>
    <font>
      <b/>
      <sz val="8"/>
      <color theme="7" tint="-0.249977111117893"/>
      <name val="Comic Sans MS"/>
      <family val="4"/>
    </font>
    <font>
      <b/>
      <sz val="8"/>
      <color theme="1"/>
      <name val="Calibri"/>
      <family val="2"/>
      <scheme val="minor"/>
    </font>
    <font>
      <b/>
      <sz val="9"/>
      <color theme="1"/>
      <name val="Calibri"/>
      <family val="2"/>
      <scheme val="minor"/>
    </font>
    <font>
      <b/>
      <sz val="6"/>
      <color theme="1"/>
      <name val="Calibri"/>
      <family val="2"/>
      <scheme val="minor"/>
    </font>
    <font>
      <b/>
      <i/>
      <sz val="9"/>
      <color theme="1"/>
      <name val="Calibri"/>
      <family val="2"/>
      <scheme val="minor"/>
    </font>
    <font>
      <sz val="8"/>
      <color theme="1"/>
      <name val="Calibri"/>
      <family val="2"/>
      <scheme val="minor"/>
    </font>
    <font>
      <b/>
      <sz val="11"/>
      <color theme="9" tint="-0.499984740745262"/>
      <name val="Calibri"/>
      <family val="2"/>
      <scheme val="minor"/>
    </font>
    <font>
      <b/>
      <i/>
      <sz val="8"/>
      <color theme="1"/>
      <name val="Calibri"/>
      <family val="2"/>
      <scheme val="minor"/>
    </font>
    <font>
      <b/>
      <sz val="10"/>
      <color theme="1"/>
      <name val="Calibri"/>
      <family val="2"/>
      <scheme val="minor"/>
    </font>
    <font>
      <b/>
      <i/>
      <sz val="9"/>
      <color rgb="FFFFFF00"/>
      <name val="Calibri"/>
      <family val="2"/>
      <scheme val="minor"/>
    </font>
    <font>
      <b/>
      <i/>
      <sz val="10"/>
      <color rgb="FFFFFF00"/>
      <name val="Calibri"/>
      <family val="2"/>
      <scheme val="minor"/>
    </font>
    <font>
      <b/>
      <sz val="5"/>
      <color theme="1"/>
      <name val="MS Sans Serif"/>
      <family val="2"/>
    </font>
    <font>
      <b/>
      <sz val="7"/>
      <color theme="1"/>
      <name val="Calibri"/>
      <family val="2"/>
      <scheme val="minor"/>
    </font>
    <font>
      <b/>
      <i/>
      <sz val="8"/>
      <color rgb="FFFF0000"/>
      <name val="Calibri"/>
      <family val="2"/>
      <scheme val="minor"/>
    </font>
    <font>
      <b/>
      <i/>
      <sz val="12"/>
      <color rgb="FFFFFF00"/>
      <name val="Calibri"/>
      <family val="2"/>
      <scheme val="minor"/>
    </font>
    <font>
      <b/>
      <sz val="11"/>
      <color theme="3" tint="-0.249977111117893"/>
      <name val="Comic Sans MS"/>
      <family val="4"/>
    </font>
    <font>
      <b/>
      <sz val="6"/>
      <color theme="3" tint="-0.249977111117893"/>
      <name val="Comic Sans MS"/>
      <family val="4"/>
    </font>
    <font>
      <b/>
      <sz val="4"/>
      <color theme="3" tint="-0.249977111117893"/>
      <name val="Comic Sans MS"/>
      <family val="4"/>
    </font>
    <font>
      <b/>
      <vertAlign val="superscript"/>
      <sz val="8"/>
      <color theme="1"/>
      <name val="Calibri"/>
      <family val="2"/>
      <scheme val="minor"/>
    </font>
    <font>
      <sz val="11"/>
      <color rgb="FFFFFF00"/>
      <name val="Calibri"/>
      <family val="2"/>
      <scheme val="minor"/>
    </font>
    <font>
      <b/>
      <sz val="11"/>
      <color rgb="FFFFFF00"/>
      <name val="Calibri"/>
      <family val="2"/>
      <scheme val="minor"/>
    </font>
    <font>
      <sz val="11"/>
      <color theme="2" tint="-0.89999084444715716"/>
      <name val="Comic Sans MS"/>
      <family val="4"/>
    </font>
    <font>
      <sz val="11"/>
      <color theme="0"/>
      <name val="Calibri"/>
      <family val="2"/>
      <scheme val="minor"/>
    </font>
    <font>
      <b/>
      <sz val="16"/>
      <color indexed="12"/>
      <name val="Comic Sans MS"/>
      <family val="4"/>
    </font>
    <font>
      <b/>
      <sz val="14"/>
      <color indexed="61"/>
      <name val="Arial"/>
      <family val="2"/>
    </font>
    <font>
      <b/>
      <sz val="12"/>
      <color indexed="8"/>
      <name val="Arial"/>
      <family val="2"/>
    </font>
    <font>
      <b/>
      <sz val="14"/>
      <color theme="1"/>
      <name val="Arial"/>
      <family val="2"/>
    </font>
    <font>
      <b/>
      <sz val="12"/>
      <name val="Arial"/>
      <family val="2"/>
    </font>
    <font>
      <sz val="14"/>
      <color theme="1"/>
      <name val="Calibri"/>
      <family val="2"/>
      <scheme val="minor"/>
    </font>
    <font>
      <b/>
      <sz val="14"/>
      <color theme="1"/>
      <name val="Calibri"/>
      <family val="2"/>
      <scheme val="minor"/>
    </font>
    <font>
      <b/>
      <sz val="16"/>
      <color theme="1"/>
      <name val="Calibri"/>
      <family val="2"/>
      <scheme val="minor"/>
    </font>
    <font>
      <b/>
      <sz val="9"/>
      <color theme="3" tint="-0.249977111117893"/>
      <name val="Comic Sans MS"/>
      <family val="4"/>
    </font>
    <font>
      <sz val="11"/>
      <color theme="1"/>
      <name val="Comic Sans MS"/>
      <family val="4"/>
    </font>
    <font>
      <sz val="20"/>
      <color theme="1"/>
      <name val="Comic Sans MS"/>
      <family val="4"/>
    </font>
    <font>
      <b/>
      <sz val="12"/>
      <color theme="1"/>
      <name val="Calibri"/>
      <family val="2"/>
      <scheme val="minor"/>
    </font>
    <font>
      <sz val="10"/>
      <color theme="1"/>
      <name val="Comic Sans MS"/>
      <family val="4"/>
    </font>
    <font>
      <b/>
      <sz val="11"/>
      <color rgb="FF000000"/>
      <name val="Arial"/>
      <family val="2"/>
    </font>
    <font>
      <b/>
      <sz val="5"/>
      <color theme="1"/>
      <name val="Calibri"/>
      <family val="2"/>
      <scheme val="minor"/>
    </font>
    <font>
      <b/>
      <sz val="8"/>
      <color theme="1"/>
      <name val="MS Sans Serif"/>
      <family val="2"/>
    </font>
    <font>
      <b/>
      <sz val="5"/>
      <color theme="1"/>
      <name val="Calibri"/>
      <family val="2"/>
    </font>
    <font>
      <i/>
      <sz val="8"/>
      <color theme="1"/>
      <name val="Calibri"/>
      <family val="2"/>
      <scheme val="minor"/>
    </font>
    <font>
      <b/>
      <sz val="5"/>
      <color rgb="FFFF0000"/>
      <name val="Calibri"/>
      <family val="2"/>
      <scheme val="minor"/>
    </font>
    <font>
      <b/>
      <u/>
      <sz val="5"/>
      <color rgb="FFFF0000"/>
      <name val="Calibri"/>
      <family val="2"/>
      <scheme val="minor"/>
    </font>
    <font>
      <b/>
      <i/>
      <sz val="11"/>
      <color theme="1"/>
      <name val="Calibri"/>
      <family val="2"/>
      <scheme val="minor"/>
    </font>
    <font>
      <b/>
      <i/>
      <u/>
      <sz val="11"/>
      <color theme="1"/>
      <name val="Calibri"/>
      <family val="2"/>
      <scheme val="minor"/>
    </font>
  </fonts>
  <fills count="23">
    <fill>
      <patternFill patternType="none"/>
    </fill>
    <fill>
      <patternFill patternType="gray125"/>
    </fill>
    <fill>
      <patternFill patternType="solid">
        <fgColor theme="9" tint="-0.249977111117893"/>
        <bgColor indexed="64"/>
      </patternFill>
    </fill>
    <fill>
      <patternFill patternType="solid">
        <fgColor theme="7" tint="-0.249977111117893"/>
        <bgColor indexed="64"/>
      </patternFill>
    </fill>
    <fill>
      <patternFill patternType="solid">
        <fgColor theme="2" tint="-9.9978637043366805E-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rgb="FFFFFF00"/>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3" tint="0.39997558519241921"/>
        <bgColor indexed="64"/>
      </patternFill>
    </fill>
    <fill>
      <patternFill patternType="solid">
        <fgColor theme="3" tint="0.79998168889431442"/>
        <bgColor indexed="64"/>
      </patternFill>
    </fill>
    <fill>
      <patternFill patternType="solid">
        <fgColor theme="5" tint="0.39997558519241921"/>
        <bgColor indexed="64"/>
      </patternFill>
    </fill>
    <fill>
      <patternFill patternType="solid">
        <fgColor indexed="12"/>
        <bgColor indexed="64"/>
      </patternFill>
    </fill>
    <fill>
      <patternFill patternType="solid">
        <fgColor rgb="FF0000FF"/>
        <bgColor indexed="64"/>
      </patternFill>
    </fill>
    <fill>
      <patternFill patternType="solid">
        <fgColor theme="3" tint="-0.249977111117893"/>
        <bgColor indexed="64"/>
      </patternFill>
    </fill>
    <fill>
      <patternFill patternType="solid">
        <fgColor theme="3" tint="0.59999389629810485"/>
        <bgColor indexed="64"/>
      </patternFill>
    </fill>
    <fill>
      <patternFill patternType="solid">
        <fgColor theme="8" tint="0.59999389629810485"/>
        <bgColor indexed="64"/>
      </patternFill>
    </fill>
    <fill>
      <patternFill patternType="solid">
        <fgColor theme="9" tint="0.39997558519241921"/>
        <bgColor indexed="64"/>
      </patternFill>
    </fill>
    <fill>
      <patternFill patternType="solid">
        <fgColor theme="8" tint="0.39997558519241921"/>
        <bgColor indexed="64"/>
      </patternFill>
    </fill>
    <fill>
      <patternFill patternType="solid">
        <fgColor rgb="FFFF0000"/>
        <bgColor indexed="64"/>
      </patternFill>
    </fill>
    <fill>
      <patternFill patternType="solid">
        <fgColor rgb="FFFF66FF"/>
        <bgColor indexed="64"/>
      </patternFill>
    </fill>
  </fills>
  <borders count="43">
    <border>
      <left/>
      <right/>
      <top/>
      <bottom/>
      <diagonal/>
    </border>
    <border>
      <left/>
      <right/>
      <top/>
      <bottom style="double">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indexed="64"/>
      </top>
      <bottom style="thin">
        <color indexed="64"/>
      </bottom>
      <diagonal/>
    </border>
    <border>
      <left/>
      <right style="thin">
        <color auto="1"/>
      </right>
      <top style="thin">
        <color auto="1"/>
      </top>
      <bottom style="thin">
        <color auto="1"/>
      </bottom>
      <diagonal/>
    </border>
    <border>
      <left style="thin">
        <color auto="1"/>
      </left>
      <right/>
      <top/>
      <bottom/>
      <diagonal/>
    </border>
    <border diagonalUp="1" diagonalDown="1">
      <left style="thin">
        <color auto="1"/>
      </left>
      <right style="thin">
        <color auto="1"/>
      </right>
      <top style="thin">
        <color auto="1"/>
      </top>
      <bottom style="thin">
        <color auto="1"/>
      </bottom>
      <diagonal style="thin">
        <color auto="1"/>
      </diagonal>
    </border>
    <border>
      <left/>
      <right/>
      <top style="double">
        <color auto="1"/>
      </top>
      <bottom/>
      <diagonal/>
    </border>
    <border>
      <left style="thick">
        <color auto="1"/>
      </left>
      <right/>
      <top style="thick">
        <color auto="1"/>
      </top>
      <bottom style="thick">
        <color auto="1"/>
      </bottom>
      <diagonal/>
    </border>
    <border>
      <left/>
      <right/>
      <top style="thick">
        <color auto="1"/>
      </top>
      <bottom style="thick">
        <color auto="1"/>
      </bottom>
      <diagonal/>
    </border>
    <border>
      <left style="thick">
        <color auto="1"/>
      </left>
      <right style="thick">
        <color auto="1"/>
      </right>
      <top/>
      <bottom/>
      <diagonal/>
    </border>
    <border>
      <left style="thick">
        <color auto="1"/>
      </left>
      <right style="thin">
        <color auto="1"/>
      </right>
      <top style="thick">
        <color auto="1"/>
      </top>
      <bottom style="thin">
        <color auto="1"/>
      </bottom>
      <diagonal/>
    </border>
    <border>
      <left style="thin">
        <color auto="1"/>
      </left>
      <right style="thin">
        <color auto="1"/>
      </right>
      <top style="thick">
        <color auto="1"/>
      </top>
      <bottom style="thin">
        <color auto="1"/>
      </bottom>
      <diagonal/>
    </border>
    <border>
      <left style="thin">
        <color auto="1"/>
      </left>
      <right style="thick">
        <color auto="1"/>
      </right>
      <top style="thick">
        <color auto="1"/>
      </top>
      <bottom style="thin">
        <color auto="1"/>
      </bottom>
      <diagonal/>
    </border>
    <border>
      <left/>
      <right style="thick">
        <color auto="1"/>
      </right>
      <top/>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style="thick">
        <color auto="1"/>
      </left>
      <right style="thin">
        <color auto="1"/>
      </right>
      <top style="thin">
        <color auto="1"/>
      </top>
      <bottom style="thin">
        <color auto="1"/>
      </bottom>
      <diagonal/>
    </border>
    <border>
      <left style="thin">
        <color auto="1"/>
      </left>
      <right style="thick">
        <color auto="1"/>
      </right>
      <top style="thin">
        <color auto="1"/>
      </top>
      <bottom style="thin">
        <color auto="1"/>
      </bottom>
      <diagonal/>
    </border>
    <border>
      <left style="thick">
        <color auto="1"/>
      </left>
      <right style="thin">
        <color auto="1"/>
      </right>
      <top/>
      <bottom/>
      <diagonal/>
    </border>
    <border>
      <left style="thick">
        <color auto="1"/>
      </left>
      <right style="thin">
        <color auto="1"/>
      </right>
      <top style="thin">
        <color auto="1"/>
      </top>
      <bottom/>
      <diagonal/>
    </border>
    <border>
      <left style="thin">
        <color auto="1"/>
      </left>
      <right style="thick">
        <color auto="1"/>
      </right>
      <top style="thin">
        <color auto="1"/>
      </top>
      <bottom/>
      <diagonal/>
    </border>
    <border>
      <left style="thick">
        <color auto="1"/>
      </left>
      <right style="thin">
        <color auto="1"/>
      </right>
      <top/>
      <bottom style="thin">
        <color auto="1"/>
      </bottom>
      <diagonal/>
    </border>
    <border>
      <left style="thin">
        <color auto="1"/>
      </left>
      <right style="thin">
        <color auto="1"/>
      </right>
      <top style="thin">
        <color auto="1"/>
      </top>
      <bottom/>
      <diagonal/>
    </border>
    <border>
      <left style="thin">
        <color auto="1"/>
      </left>
      <right style="thick">
        <color auto="1"/>
      </right>
      <top/>
      <bottom style="thin">
        <color auto="1"/>
      </bottom>
      <diagonal/>
    </border>
    <border>
      <left style="thick">
        <color auto="1"/>
      </left>
      <right/>
      <top style="thick">
        <color auto="1"/>
      </top>
      <bottom/>
      <diagonal/>
    </border>
    <border>
      <left/>
      <right/>
      <top style="thick">
        <color auto="1"/>
      </top>
      <bottom/>
      <diagonal/>
    </border>
    <border>
      <left/>
      <right style="thick">
        <color auto="1"/>
      </right>
      <top style="thick">
        <color auto="1"/>
      </top>
      <bottom/>
      <diagonal/>
    </border>
    <border>
      <left/>
      <right/>
      <top style="thin">
        <color auto="1"/>
      </top>
      <bottom/>
      <diagonal/>
    </border>
    <border>
      <left style="thick">
        <color auto="1"/>
      </left>
      <right/>
      <top/>
      <bottom style="thick">
        <color auto="1"/>
      </bottom>
      <diagonal/>
    </border>
    <border>
      <left/>
      <right/>
      <top/>
      <bottom style="thick">
        <color auto="1"/>
      </bottom>
      <diagonal/>
    </border>
    <border>
      <left/>
      <right style="thick">
        <color auto="1"/>
      </right>
      <top/>
      <bottom style="thick">
        <color auto="1"/>
      </bottom>
      <diagonal/>
    </border>
    <border>
      <left style="thick">
        <color auto="1"/>
      </left>
      <right style="thin">
        <color auto="1"/>
      </right>
      <top style="thin">
        <color auto="1"/>
      </top>
      <bottom style="thick">
        <color auto="1"/>
      </bottom>
      <diagonal/>
    </border>
    <border>
      <left style="thin">
        <color auto="1"/>
      </left>
      <right style="thin">
        <color auto="1"/>
      </right>
      <top style="thin">
        <color auto="1"/>
      </top>
      <bottom style="thick">
        <color auto="1"/>
      </bottom>
      <diagonal/>
    </border>
    <border>
      <left style="thin">
        <color auto="1"/>
      </left>
      <right style="thick">
        <color auto="1"/>
      </right>
      <top style="thin">
        <color auto="1"/>
      </top>
      <bottom style="thick">
        <color auto="1"/>
      </bottom>
      <diagonal/>
    </border>
    <border diagonalUp="1" diagonalDown="1">
      <left style="thin">
        <color auto="1"/>
      </left>
      <right style="thin">
        <color auto="1"/>
      </right>
      <top style="thin">
        <color auto="1"/>
      </top>
      <bottom style="thick">
        <color auto="1"/>
      </bottom>
      <diagonal style="thin">
        <color auto="1"/>
      </diagonal>
    </border>
    <border>
      <left style="thin">
        <color auto="1"/>
      </left>
      <right style="thin">
        <color auto="1"/>
      </right>
      <top/>
      <bottom/>
      <diagonal/>
    </border>
    <border>
      <left style="thin">
        <color auto="1"/>
      </left>
      <right style="thin">
        <color auto="1"/>
      </right>
      <top/>
      <bottom style="thick">
        <color auto="1"/>
      </bottom>
      <diagonal/>
    </border>
    <border>
      <left/>
      <right/>
      <top/>
      <bottom style="thin">
        <color auto="1"/>
      </bottom>
      <diagonal/>
    </border>
    <border>
      <left/>
      <right style="thin">
        <color auto="1"/>
      </right>
      <top/>
      <bottom/>
      <diagonal/>
    </border>
    <border>
      <left/>
      <right style="thin">
        <color auto="1"/>
      </right>
      <top style="thin">
        <color auto="1"/>
      </top>
      <bottom/>
      <diagonal/>
    </border>
  </borders>
  <cellStyleXfs count="1">
    <xf numFmtId="0" fontId="0" fillId="0" borderId="0"/>
  </cellStyleXfs>
  <cellXfs count="193">
    <xf numFmtId="0" fontId="0" fillId="0" borderId="0" xfId="0"/>
    <xf numFmtId="0" fontId="0" fillId="2" borderId="0" xfId="0" applyFill="1"/>
    <xf numFmtId="0" fontId="0" fillId="3" borderId="0" xfId="0" applyFill="1"/>
    <xf numFmtId="0" fontId="0" fillId="0" borderId="0" xfId="0" applyFill="1"/>
    <xf numFmtId="0" fontId="2" fillId="4" borderId="1" xfId="0" applyFont="1" applyFill="1" applyBorder="1"/>
    <xf numFmtId="0" fontId="0" fillId="4" borderId="1" xfId="0" applyFill="1" applyBorder="1"/>
    <xf numFmtId="0" fontId="4" fillId="0" borderId="0" xfId="0" applyFont="1" applyFill="1"/>
    <xf numFmtId="0" fontId="5" fillId="5" borderId="0" xfId="0" applyFont="1" applyFill="1"/>
    <xf numFmtId="0" fontId="0" fillId="5" borderId="0" xfId="0" applyFill="1"/>
    <xf numFmtId="0" fontId="6" fillId="6" borderId="0" xfId="0" applyFont="1" applyFill="1"/>
    <xf numFmtId="0" fontId="0" fillId="6" borderId="0" xfId="0" applyFill="1"/>
    <xf numFmtId="0" fontId="0" fillId="0" borderId="0" xfId="0" applyFill="1" applyAlignment="1">
      <alignment vertical="center"/>
    </xf>
    <xf numFmtId="0" fontId="7" fillId="5" borderId="2" xfId="0" applyFont="1" applyFill="1" applyBorder="1" applyAlignment="1">
      <alignment horizontal="right"/>
    </xf>
    <xf numFmtId="0" fontId="8" fillId="7" borderId="2" xfId="0" applyFont="1" applyFill="1" applyBorder="1" applyAlignment="1" applyProtection="1">
      <alignment horizontal="center"/>
      <protection locked="0"/>
    </xf>
    <xf numFmtId="0" fontId="7" fillId="6" borderId="2" xfId="0" applyFont="1" applyFill="1" applyBorder="1" applyAlignment="1">
      <alignment horizontal="right"/>
    </xf>
    <xf numFmtId="0" fontId="7" fillId="8" borderId="2" xfId="0" applyFont="1" applyFill="1" applyBorder="1" applyAlignment="1">
      <alignment horizontal="right"/>
    </xf>
    <xf numFmtId="0" fontId="10" fillId="8" borderId="2" xfId="0" applyFont="1" applyFill="1" applyBorder="1" applyAlignment="1">
      <alignment horizontal="center"/>
    </xf>
    <xf numFmtId="0" fontId="7" fillId="9" borderId="3" xfId="0" applyFont="1" applyFill="1" applyBorder="1" applyAlignment="1">
      <alignment horizontal="right"/>
    </xf>
    <xf numFmtId="3" fontId="10" fillId="5" borderId="2" xfId="0" applyNumberFormat="1" applyFont="1" applyFill="1" applyBorder="1" applyAlignment="1">
      <alignment horizontal="center"/>
    </xf>
    <xf numFmtId="3" fontId="8" fillId="8" borderId="2" xfId="0" applyNumberFormat="1" applyFont="1" applyFill="1" applyBorder="1" applyAlignment="1">
      <alignment horizontal="center"/>
    </xf>
    <xf numFmtId="0" fontId="11" fillId="2" borderId="0" xfId="0" applyFont="1" applyFill="1"/>
    <xf numFmtId="0" fontId="7" fillId="8" borderId="2" xfId="0" applyFont="1" applyFill="1" applyBorder="1" applyAlignment="1">
      <alignment horizontal="center"/>
    </xf>
    <xf numFmtId="0" fontId="7" fillId="10" borderId="3" xfId="0" applyFont="1" applyFill="1" applyBorder="1"/>
    <xf numFmtId="0" fontId="0" fillId="10" borderId="4" xfId="0" applyFill="1" applyBorder="1"/>
    <xf numFmtId="0" fontId="0" fillId="10" borderId="5" xfId="0" applyFill="1" applyBorder="1"/>
    <xf numFmtId="0" fontId="7" fillId="9" borderId="2" xfId="0" applyFont="1" applyFill="1" applyBorder="1" applyAlignment="1">
      <alignment horizontal="center"/>
    </xf>
    <xf numFmtId="3" fontId="1" fillId="8" borderId="2" xfId="0" applyNumberFormat="1" applyFont="1" applyFill="1" applyBorder="1" applyAlignment="1">
      <alignment horizontal="center" vertical="center"/>
    </xf>
    <xf numFmtId="0" fontId="0" fillId="10" borderId="3" xfId="0" applyFill="1" applyBorder="1"/>
    <xf numFmtId="3" fontId="1" fillId="10" borderId="4" xfId="0" applyNumberFormat="1" applyFont="1" applyFill="1" applyBorder="1"/>
    <xf numFmtId="3" fontId="1" fillId="9" borderId="2" xfId="0" applyNumberFormat="1" applyFont="1" applyFill="1" applyBorder="1" applyAlignment="1">
      <alignment horizontal="center" vertical="center" shrinkToFit="1"/>
    </xf>
    <xf numFmtId="3" fontId="12" fillId="10" borderId="3" xfId="0" applyNumberFormat="1" applyFont="1" applyFill="1" applyBorder="1" applyAlignment="1">
      <alignment horizontal="center" vertical="center" shrinkToFit="1"/>
    </xf>
    <xf numFmtId="0" fontId="15" fillId="3" borderId="0" xfId="0" applyFont="1" applyFill="1"/>
    <xf numFmtId="0" fontId="16" fillId="3" borderId="0" xfId="0" applyFont="1" applyFill="1"/>
    <xf numFmtId="0" fontId="0" fillId="9" borderId="0" xfId="0" applyFill="1"/>
    <xf numFmtId="0" fontId="17" fillId="9" borderId="0" xfId="0" applyFont="1" applyFill="1" applyAlignment="1">
      <alignment horizontal="center" vertical="center" wrapText="1"/>
    </xf>
    <xf numFmtId="0" fontId="11" fillId="9" borderId="0" xfId="0" applyFont="1" applyFill="1"/>
    <xf numFmtId="3" fontId="7" fillId="0" borderId="2" xfId="0" applyNumberFormat="1" applyFont="1" applyBorder="1" applyAlignment="1">
      <alignment horizontal="center"/>
    </xf>
    <xf numFmtId="0" fontId="18" fillId="0" borderId="0" xfId="0" applyFont="1" applyFill="1" applyBorder="1"/>
    <xf numFmtId="0" fontId="0" fillId="0" borderId="0" xfId="0" applyFill="1" applyBorder="1"/>
    <xf numFmtId="0" fontId="18" fillId="0" borderId="0" xfId="0" applyFont="1" applyFill="1"/>
    <xf numFmtId="0" fontId="19" fillId="0" borderId="0" xfId="0" applyFont="1" applyFill="1"/>
    <xf numFmtId="0" fontId="0" fillId="11" borderId="0" xfId="0" applyFill="1"/>
    <xf numFmtId="0" fontId="20" fillId="11" borderId="8" xfId="0" applyFont="1" applyFill="1" applyBorder="1"/>
    <xf numFmtId="0" fontId="20" fillId="11" borderId="0" xfId="0" applyFont="1" applyFill="1"/>
    <xf numFmtId="0" fontId="21" fillId="12" borderId="9" xfId="0" applyFont="1" applyFill="1" applyBorder="1"/>
    <xf numFmtId="0" fontId="0" fillId="12" borderId="10" xfId="0" applyFill="1" applyBorder="1"/>
    <xf numFmtId="0" fontId="0" fillId="11" borderId="11" xfId="0" applyFill="1" applyBorder="1"/>
    <xf numFmtId="0" fontId="7" fillId="4" borderId="12" xfId="0" applyFont="1" applyFill="1" applyBorder="1" applyAlignment="1">
      <alignment horizontal="right"/>
    </xf>
    <xf numFmtId="3" fontId="7" fillId="4" borderId="13" xfId="0" applyNumberFormat="1" applyFont="1" applyFill="1" applyBorder="1" applyAlignment="1">
      <alignment horizontal="center"/>
    </xf>
    <xf numFmtId="0" fontId="7" fillId="12" borderId="14" xfId="0" applyFont="1" applyFill="1" applyBorder="1"/>
    <xf numFmtId="0" fontId="4" fillId="0" borderId="0" xfId="0" applyFont="1"/>
    <xf numFmtId="0" fontId="0" fillId="11" borderId="15" xfId="0" applyFill="1" applyBorder="1"/>
    <xf numFmtId="0" fontId="7" fillId="12" borderId="16" xfId="0" applyFont="1" applyFill="1" applyBorder="1" applyAlignment="1">
      <alignment horizontal="right"/>
    </xf>
    <xf numFmtId="0" fontId="8" fillId="7" borderId="17" xfId="0" applyFont="1" applyFill="1" applyBorder="1" applyAlignment="1" applyProtection="1">
      <alignment horizontal="center"/>
      <protection locked="0"/>
    </xf>
    <xf numFmtId="0" fontId="7" fillId="12" borderId="18" xfId="0" applyFont="1" applyFill="1" applyBorder="1"/>
    <xf numFmtId="0" fontId="7" fillId="4" borderId="19" xfId="0" applyFont="1" applyFill="1" applyBorder="1" applyAlignment="1">
      <alignment horizontal="right"/>
    </xf>
    <xf numFmtId="3" fontId="7" fillId="4" borderId="2" xfId="0" applyNumberFormat="1" applyFont="1" applyFill="1" applyBorder="1" applyAlignment="1" applyProtection="1">
      <alignment horizontal="center"/>
      <protection locked="0"/>
    </xf>
    <xf numFmtId="0" fontId="7" fillId="12" borderId="20" xfId="0" applyFont="1" applyFill="1" applyBorder="1"/>
    <xf numFmtId="0" fontId="0" fillId="0" borderId="0" xfId="0" applyAlignment="1">
      <alignment vertical="center"/>
    </xf>
    <xf numFmtId="0" fontId="7" fillId="12" borderId="5" xfId="0" applyFont="1" applyFill="1" applyBorder="1" applyAlignment="1">
      <alignment horizontal="right"/>
    </xf>
    <xf numFmtId="0" fontId="0" fillId="12" borderId="3" xfId="0" applyFill="1" applyBorder="1"/>
    <xf numFmtId="0" fontId="7" fillId="4" borderId="21" xfId="0" applyFont="1" applyFill="1" applyBorder="1" applyAlignment="1">
      <alignment horizontal="right"/>
    </xf>
    <xf numFmtId="3" fontId="7" fillId="4" borderId="2" xfId="0" applyNumberFormat="1" applyFont="1" applyFill="1" applyBorder="1" applyAlignment="1">
      <alignment horizontal="center"/>
    </xf>
    <xf numFmtId="0" fontId="7" fillId="12" borderId="3" xfId="0" applyFont="1" applyFill="1" applyBorder="1"/>
    <xf numFmtId="0" fontId="7" fillId="12" borderId="20" xfId="0" applyFont="1" applyFill="1" applyBorder="1" applyAlignment="1">
      <alignment horizontal="left"/>
    </xf>
    <xf numFmtId="3" fontId="13" fillId="4" borderId="2" xfId="0" applyNumberFormat="1" applyFont="1" applyFill="1" applyBorder="1" applyAlignment="1">
      <alignment horizontal="center"/>
    </xf>
    <xf numFmtId="0" fontId="9" fillId="4" borderId="22" xfId="0" applyFont="1" applyFill="1" applyBorder="1" applyAlignment="1">
      <alignment horizontal="right" wrapText="1"/>
    </xf>
    <xf numFmtId="164" fontId="7" fillId="4" borderId="2" xfId="0" applyNumberFormat="1" applyFont="1" applyFill="1" applyBorder="1" applyAlignment="1">
      <alignment horizontal="center" vertical="center"/>
    </xf>
    <xf numFmtId="0" fontId="7" fillId="12" borderId="23" xfId="0" applyFont="1" applyFill="1" applyBorder="1" applyAlignment="1">
      <alignment vertical="center"/>
    </xf>
    <xf numFmtId="0" fontId="7" fillId="7" borderId="2" xfId="0" applyFont="1" applyFill="1" applyBorder="1" applyAlignment="1" applyProtection="1">
      <alignment horizontal="center"/>
      <protection locked="0"/>
    </xf>
    <xf numFmtId="0" fontId="7" fillId="4" borderId="24" xfId="0" applyFont="1" applyFill="1" applyBorder="1" applyAlignment="1">
      <alignment horizontal="right" vertical="top" wrapText="1"/>
    </xf>
    <xf numFmtId="164" fontId="7" fillId="4" borderId="25" xfId="0" applyNumberFormat="1" applyFont="1" applyFill="1" applyBorder="1" applyAlignment="1">
      <alignment horizontal="center"/>
    </xf>
    <xf numFmtId="0" fontId="7" fillId="12" borderId="26" xfId="0" applyFont="1" applyFill="1" applyBorder="1"/>
    <xf numFmtId="2" fontId="7" fillId="4" borderId="2" xfId="0" applyNumberFormat="1" applyFont="1" applyFill="1" applyBorder="1" applyAlignment="1">
      <alignment horizontal="center" vertical="center"/>
    </xf>
    <xf numFmtId="0" fontId="7" fillId="12" borderId="19" xfId="0" applyFont="1" applyFill="1" applyBorder="1" applyAlignment="1">
      <alignment horizontal="right"/>
    </xf>
    <xf numFmtId="0" fontId="7" fillId="0" borderId="0" xfId="0" applyFont="1"/>
    <xf numFmtId="0" fontId="18" fillId="4" borderId="19" xfId="0" applyFont="1" applyFill="1" applyBorder="1" applyAlignment="1">
      <alignment horizontal="right"/>
    </xf>
    <xf numFmtId="0" fontId="18" fillId="12" borderId="20" xfId="0" applyFont="1" applyFill="1" applyBorder="1"/>
    <xf numFmtId="0" fontId="9" fillId="4" borderId="19" xfId="0" applyFont="1" applyFill="1" applyBorder="1" applyAlignment="1">
      <alignment horizontal="right"/>
    </xf>
    <xf numFmtId="0" fontId="7" fillId="13" borderId="27" xfId="0" applyFont="1" applyFill="1" applyBorder="1" applyAlignment="1">
      <alignment horizontal="right"/>
    </xf>
    <xf numFmtId="3" fontId="8" fillId="13" borderId="28" xfId="0" applyNumberFormat="1" applyFont="1" applyFill="1" applyBorder="1" applyAlignment="1">
      <alignment horizontal="center"/>
    </xf>
    <xf numFmtId="0" fontId="8" fillId="13" borderId="29" xfId="0" applyFont="1" applyFill="1" applyBorder="1"/>
    <xf numFmtId="165" fontId="7" fillId="4" borderId="30" xfId="0" applyNumberFormat="1" applyFont="1" applyFill="1" applyBorder="1" applyAlignment="1">
      <alignment horizontal="center"/>
    </xf>
    <xf numFmtId="0" fontId="7" fillId="13" borderId="31" xfId="0" applyFont="1" applyFill="1" applyBorder="1" applyAlignment="1">
      <alignment horizontal="right"/>
    </xf>
    <xf numFmtId="3" fontId="8" fillId="13" borderId="32" xfId="0" applyNumberFormat="1" applyFont="1" applyFill="1" applyBorder="1" applyAlignment="1">
      <alignment horizontal="center"/>
    </xf>
    <xf numFmtId="0" fontId="8" fillId="13" borderId="33" xfId="0" applyFont="1" applyFill="1" applyBorder="1"/>
    <xf numFmtId="0" fontId="7" fillId="4" borderId="34" xfId="0" applyFont="1" applyFill="1" applyBorder="1" applyAlignment="1">
      <alignment horizontal="right" vertical="center"/>
    </xf>
    <xf numFmtId="165" fontId="7" fillId="4" borderId="35" xfId="0" applyNumberFormat="1" applyFont="1" applyFill="1" applyBorder="1" applyAlignment="1" applyProtection="1">
      <alignment horizontal="center"/>
    </xf>
    <xf numFmtId="0" fontId="0" fillId="0" borderId="0" xfId="0" applyAlignment="1"/>
    <xf numFmtId="0" fontId="14" fillId="6" borderId="0" xfId="0" applyFont="1" applyFill="1"/>
    <xf numFmtId="0" fontId="1" fillId="6" borderId="0" xfId="0" applyFont="1" applyFill="1"/>
    <xf numFmtId="0" fontId="14" fillId="5" borderId="0" xfId="0" applyFont="1" applyFill="1"/>
    <xf numFmtId="0" fontId="1" fillId="5" borderId="0" xfId="0" applyFont="1" applyFill="1"/>
    <xf numFmtId="0" fontId="7" fillId="9" borderId="2" xfId="0" applyFont="1" applyFill="1" applyBorder="1" applyAlignment="1">
      <alignment horizontal="right"/>
    </xf>
    <xf numFmtId="0" fontId="25" fillId="2" borderId="0" xfId="0" applyFont="1" applyFill="1"/>
    <xf numFmtId="0" fontId="26" fillId="2" borderId="0" xfId="0" applyFont="1" applyFill="1"/>
    <xf numFmtId="0" fontId="10" fillId="7" borderId="2" xfId="0" applyFont="1" applyFill="1" applyBorder="1" applyAlignment="1" applyProtection="1">
      <alignment horizontal="center"/>
      <protection locked="0"/>
    </xf>
    <xf numFmtId="0" fontId="27" fillId="4" borderId="1" xfId="0" applyFont="1" applyFill="1" applyBorder="1"/>
    <xf numFmtId="0" fontId="7" fillId="12" borderId="36" xfId="0" applyFont="1" applyFill="1" applyBorder="1" applyAlignment="1">
      <alignment horizontal="left"/>
    </xf>
    <xf numFmtId="4" fontId="7" fillId="4" borderId="2" xfId="0" applyNumberFormat="1" applyFont="1" applyFill="1" applyBorder="1" applyAlignment="1">
      <alignment horizontal="center" vertical="center"/>
    </xf>
    <xf numFmtId="0" fontId="0" fillId="14" borderId="0" xfId="0" applyFill="1" applyBorder="1"/>
    <xf numFmtId="1" fontId="31" fillId="7" borderId="0" xfId="0" applyNumberFormat="1" applyFont="1" applyFill="1" applyBorder="1" applyAlignment="1" applyProtection="1">
      <alignment horizontal="center"/>
      <protection locked="0"/>
    </xf>
    <xf numFmtId="1" fontId="33" fillId="7" borderId="0" xfId="0" applyNumberFormat="1" applyFont="1" applyFill="1" applyBorder="1" applyAlignment="1" applyProtection="1">
      <alignment horizontal="center"/>
      <protection locked="0"/>
    </xf>
    <xf numFmtId="0" fontId="28" fillId="14" borderId="0" xfId="0" applyFont="1" applyFill="1" applyBorder="1"/>
    <xf numFmtId="0" fontId="0" fillId="15" borderId="0" xfId="0" applyFill="1"/>
    <xf numFmtId="3" fontId="14" fillId="5" borderId="2" xfId="0" applyNumberFormat="1" applyFont="1" applyFill="1" applyBorder="1" applyAlignment="1">
      <alignment horizontal="center"/>
    </xf>
    <xf numFmtId="0" fontId="0" fillId="16" borderId="0" xfId="0" applyFill="1"/>
    <xf numFmtId="0" fontId="0" fillId="12" borderId="0" xfId="0" applyFill="1"/>
    <xf numFmtId="0" fontId="35" fillId="12" borderId="0" xfId="0" applyFont="1" applyFill="1" applyAlignment="1">
      <alignment horizontal="right"/>
    </xf>
    <xf numFmtId="0" fontId="35" fillId="12" borderId="0" xfId="0" applyFont="1" applyFill="1"/>
    <xf numFmtId="0" fontId="34" fillId="12" borderId="0" xfId="0" applyFont="1" applyFill="1"/>
    <xf numFmtId="0" fontId="1" fillId="12" borderId="0" xfId="0" applyFont="1" applyFill="1" applyAlignment="1">
      <alignment horizontal="right" wrapText="1"/>
    </xf>
    <xf numFmtId="0" fontId="35" fillId="7" borderId="2" xfId="0" applyFont="1" applyFill="1" applyBorder="1" applyAlignment="1" applyProtection="1">
      <alignment horizontal="center"/>
      <protection locked="0"/>
    </xf>
    <xf numFmtId="3" fontId="36" fillId="12" borderId="0" xfId="0" applyNumberFormat="1" applyFont="1" applyFill="1" applyAlignment="1">
      <alignment horizontal="center"/>
    </xf>
    <xf numFmtId="0" fontId="29" fillId="12" borderId="0" xfId="0" applyFont="1" applyFill="1" applyBorder="1"/>
    <xf numFmtId="0" fontId="0" fillId="12" borderId="0" xfId="0" applyFill="1" applyBorder="1"/>
    <xf numFmtId="0" fontId="30" fillId="12" borderId="0" xfId="0" applyFont="1" applyFill="1" applyBorder="1" applyAlignment="1">
      <alignment horizontal="right"/>
    </xf>
    <xf numFmtId="1" fontId="0" fillId="12" borderId="0" xfId="0" applyNumberFormat="1" applyFill="1" applyBorder="1" applyAlignment="1">
      <alignment horizontal="center"/>
    </xf>
    <xf numFmtId="1" fontId="32" fillId="12" borderId="0" xfId="0" applyNumberFormat="1" applyFont="1" applyFill="1" applyBorder="1" applyAlignment="1">
      <alignment horizontal="center"/>
    </xf>
    <xf numFmtId="3" fontId="7" fillId="0" borderId="35" xfId="0" applyNumberFormat="1" applyFont="1" applyBorder="1" applyAlignment="1">
      <alignment horizontal="center"/>
    </xf>
    <xf numFmtId="0" fontId="38" fillId="12" borderId="0" xfId="0" applyFont="1" applyFill="1"/>
    <xf numFmtId="0" fontId="39" fillId="12" borderId="0" xfId="0" applyFont="1" applyFill="1"/>
    <xf numFmtId="0" fontId="0" fillId="12" borderId="0" xfId="0" applyFill="1" applyAlignment="1">
      <alignment horizontal="right"/>
    </xf>
    <xf numFmtId="0" fontId="40" fillId="12" borderId="0" xfId="0" applyFont="1" applyFill="1" applyAlignment="1">
      <alignment horizontal="right"/>
    </xf>
    <xf numFmtId="0" fontId="40" fillId="12" borderId="0" xfId="0" applyFont="1" applyFill="1"/>
    <xf numFmtId="166" fontId="40" fillId="12" borderId="0" xfId="0" applyNumberFormat="1" applyFont="1" applyFill="1"/>
    <xf numFmtId="0" fontId="1" fillId="7" borderId="2" xfId="0" applyFont="1" applyFill="1" applyBorder="1" applyAlignment="1">
      <alignment horizontal="center"/>
    </xf>
    <xf numFmtId="3" fontId="1" fillId="7" borderId="2" xfId="0" applyNumberFormat="1" applyFont="1" applyFill="1" applyBorder="1" applyAlignment="1">
      <alignment horizontal="center"/>
    </xf>
    <xf numFmtId="0" fontId="8" fillId="17" borderId="2" xfId="0" applyFont="1" applyFill="1" applyBorder="1" applyAlignment="1" applyProtection="1">
      <alignment horizontal="center"/>
    </xf>
    <xf numFmtId="0" fontId="0" fillId="18" borderId="3" xfId="0" applyFill="1" applyBorder="1"/>
    <xf numFmtId="0" fontId="35" fillId="18" borderId="4" xfId="0" applyFont="1" applyFill="1" applyBorder="1"/>
    <xf numFmtId="0" fontId="0" fillId="18" borderId="4" xfId="0" applyFill="1" applyBorder="1"/>
    <xf numFmtId="0" fontId="0" fillId="18" borderId="5" xfId="0" applyFill="1" applyBorder="1"/>
    <xf numFmtId="0" fontId="0" fillId="2" borderId="2" xfId="0" applyFill="1" applyBorder="1"/>
    <xf numFmtId="0" fontId="1" fillId="19" borderId="2" xfId="0" applyFont="1" applyFill="1" applyBorder="1" applyAlignment="1">
      <alignment horizontal="center"/>
    </xf>
    <xf numFmtId="0" fontId="1" fillId="20" borderId="2" xfId="0" applyFont="1" applyFill="1" applyBorder="1" applyAlignment="1">
      <alignment horizontal="center"/>
    </xf>
    <xf numFmtId="0" fontId="0" fillId="0" borderId="2" xfId="0" applyBorder="1" applyAlignment="1">
      <alignment wrapText="1"/>
    </xf>
    <xf numFmtId="0" fontId="0" fillId="0" borderId="2" xfId="0" applyFill="1" applyBorder="1" applyAlignment="1">
      <alignment wrapText="1"/>
    </xf>
    <xf numFmtId="0" fontId="1" fillId="21" borderId="2" xfId="0" applyFont="1" applyFill="1" applyBorder="1" applyAlignment="1">
      <alignment horizontal="center"/>
    </xf>
    <xf numFmtId="0" fontId="43" fillId="9" borderId="0" xfId="0" applyFont="1" applyFill="1"/>
    <xf numFmtId="3" fontId="7" fillId="9" borderId="39" xfId="0" applyNumberFormat="1" applyFont="1" applyFill="1" applyBorder="1" applyAlignment="1">
      <alignment horizontal="center"/>
    </xf>
    <xf numFmtId="3" fontId="7" fillId="9" borderId="38" xfId="0" applyNumberFormat="1" applyFont="1" applyFill="1" applyBorder="1" applyAlignment="1">
      <alignment horizontal="center"/>
    </xf>
    <xf numFmtId="3" fontId="7" fillId="9" borderId="7" xfId="0" applyNumberFormat="1" applyFont="1" applyFill="1" applyBorder="1" applyAlignment="1">
      <alignment horizontal="center"/>
    </xf>
    <xf numFmtId="3" fontId="7" fillId="9" borderId="37" xfId="0" applyNumberFormat="1" applyFont="1" applyFill="1" applyBorder="1" applyAlignment="1">
      <alignment horizontal="center"/>
    </xf>
    <xf numFmtId="0" fontId="14" fillId="9" borderId="0" xfId="0" applyFont="1" applyFill="1"/>
    <xf numFmtId="0" fontId="44" fillId="9" borderId="6" xfId="0" applyFont="1" applyFill="1" applyBorder="1"/>
    <xf numFmtId="3" fontId="7" fillId="9" borderId="38" xfId="0" applyNumberFormat="1" applyFont="1" applyFill="1" applyBorder="1" applyAlignment="1">
      <alignment horizontal="left"/>
    </xf>
    <xf numFmtId="0" fontId="18" fillId="3" borderId="0" xfId="0" applyFont="1" applyFill="1" applyBorder="1"/>
    <xf numFmtId="0" fontId="0" fillId="3" borderId="0" xfId="0" applyFill="1" applyBorder="1"/>
    <xf numFmtId="0" fontId="18" fillId="3" borderId="0" xfId="0" applyFont="1" applyFill="1"/>
    <xf numFmtId="3" fontId="7" fillId="9" borderId="39" xfId="0" applyNumberFormat="1" applyFont="1" applyFill="1" applyBorder="1" applyAlignment="1">
      <alignment horizontal="left"/>
    </xf>
    <xf numFmtId="3" fontId="7" fillId="0" borderId="25" xfId="0" applyNumberFormat="1" applyFont="1" applyBorder="1" applyAlignment="1">
      <alignment horizontal="center"/>
    </xf>
    <xf numFmtId="0" fontId="1" fillId="9" borderId="28" xfId="0" applyFont="1" applyFill="1" applyBorder="1"/>
    <xf numFmtId="0" fontId="0" fillId="9" borderId="28" xfId="0" applyFill="1" applyBorder="1"/>
    <xf numFmtId="0" fontId="17" fillId="9" borderId="0" xfId="0" applyFont="1" applyFill="1" applyBorder="1" applyAlignment="1">
      <alignment horizontal="center"/>
    </xf>
    <xf numFmtId="0" fontId="45" fillId="9" borderId="0" xfId="0" applyFont="1" applyFill="1" applyBorder="1" applyAlignment="1">
      <alignment horizontal="right"/>
    </xf>
    <xf numFmtId="0" fontId="43" fillId="9" borderId="0" xfId="0" applyFont="1" applyFill="1" applyAlignment="1">
      <alignment horizontal="right"/>
    </xf>
    <xf numFmtId="0" fontId="43" fillId="9" borderId="0" xfId="0" applyFont="1" applyFill="1" applyBorder="1" applyAlignment="1">
      <alignment horizontal="right"/>
    </xf>
    <xf numFmtId="0" fontId="43" fillId="9" borderId="32" xfId="0" applyFont="1" applyFill="1" applyBorder="1" applyAlignment="1">
      <alignment horizontal="right"/>
    </xf>
    <xf numFmtId="0" fontId="43" fillId="19" borderId="0" xfId="0" applyFont="1" applyFill="1"/>
    <xf numFmtId="0" fontId="8" fillId="0" borderId="2" xfId="0" applyFont="1" applyFill="1" applyBorder="1" applyAlignment="1">
      <alignment horizontal="center"/>
    </xf>
    <xf numFmtId="0" fontId="7" fillId="9" borderId="0" xfId="0" applyFont="1" applyFill="1" applyAlignment="1">
      <alignment horizontal="right"/>
    </xf>
    <xf numFmtId="0" fontId="7" fillId="9" borderId="0" xfId="0" applyFont="1" applyFill="1" applyBorder="1" applyAlignment="1">
      <alignment horizontal="right"/>
    </xf>
    <xf numFmtId="0" fontId="11" fillId="9" borderId="28" xfId="0" applyFont="1" applyFill="1" applyBorder="1"/>
    <xf numFmtId="3" fontId="7" fillId="0" borderId="13" xfId="0" applyNumberFormat="1" applyFont="1" applyBorder="1" applyAlignment="1">
      <alignment horizontal="center"/>
    </xf>
    <xf numFmtId="0" fontId="1" fillId="19" borderId="3" xfId="0" applyFont="1" applyFill="1" applyBorder="1" applyAlignment="1">
      <alignment horizontal="center"/>
    </xf>
    <xf numFmtId="0" fontId="0" fillId="0" borderId="3" xfId="0" applyFont="1" applyFill="1" applyBorder="1" applyAlignment="1">
      <alignment horizontal="left"/>
    </xf>
    <xf numFmtId="0" fontId="0" fillId="0" borderId="3" xfId="0" applyBorder="1" applyAlignment="1">
      <alignment wrapText="1"/>
    </xf>
    <xf numFmtId="0" fontId="0" fillId="18" borderId="2" xfId="0" applyFill="1" applyBorder="1"/>
    <xf numFmtId="0" fontId="0" fillId="11" borderId="5" xfId="0" applyFill="1" applyBorder="1"/>
    <xf numFmtId="0" fontId="7" fillId="9" borderId="16" xfId="0" applyFont="1" applyFill="1" applyBorder="1"/>
    <xf numFmtId="0" fontId="0" fillId="20" borderId="2" xfId="0" applyFill="1" applyBorder="1" applyAlignment="1">
      <alignment horizontal="right"/>
    </xf>
    <xf numFmtId="0" fontId="0" fillId="20" borderId="2" xfId="0" applyFill="1" applyBorder="1"/>
    <xf numFmtId="0" fontId="0" fillId="9" borderId="2" xfId="0" applyFill="1" applyBorder="1" applyAlignment="1">
      <alignment horizontal="right"/>
    </xf>
    <xf numFmtId="0" fontId="0" fillId="9" borderId="2" xfId="0" applyFill="1" applyBorder="1"/>
    <xf numFmtId="0" fontId="0" fillId="7" borderId="2" xfId="0" applyFill="1" applyBorder="1" applyAlignment="1" applyProtection="1">
      <alignment horizontal="center"/>
      <protection locked="0"/>
    </xf>
    <xf numFmtId="0" fontId="0" fillId="9" borderId="4" xfId="0" applyFill="1" applyBorder="1" applyAlignment="1">
      <alignment wrapText="1"/>
    </xf>
    <xf numFmtId="0" fontId="0" fillId="9" borderId="4" xfId="0" applyFill="1" applyBorder="1"/>
    <xf numFmtId="0" fontId="0" fillId="9" borderId="5" xfId="0" applyFill="1" applyBorder="1"/>
    <xf numFmtId="0" fontId="0" fillId="9" borderId="2" xfId="0" applyFill="1" applyBorder="1" applyAlignment="1">
      <alignment horizontal="right" vertical="center"/>
    </xf>
    <xf numFmtId="0" fontId="0" fillId="9" borderId="2" xfId="0" applyFill="1" applyBorder="1" applyAlignment="1">
      <alignment vertical="center"/>
    </xf>
    <xf numFmtId="167" fontId="1" fillId="21" borderId="2" xfId="0" applyNumberFormat="1" applyFont="1" applyFill="1" applyBorder="1" applyAlignment="1">
      <alignment horizontal="center"/>
    </xf>
    <xf numFmtId="167" fontId="1" fillId="0" borderId="2" xfId="0" applyNumberFormat="1" applyFont="1" applyFill="1" applyBorder="1" applyAlignment="1">
      <alignment horizontal="center"/>
    </xf>
    <xf numFmtId="167" fontId="1" fillId="0" borderId="3" xfId="0" applyNumberFormat="1" applyFont="1" applyFill="1" applyBorder="1" applyAlignment="1">
      <alignment horizontal="center"/>
    </xf>
    <xf numFmtId="167" fontId="1" fillId="21" borderId="3" xfId="0" applyNumberFormat="1" applyFont="1" applyFill="1" applyBorder="1" applyAlignment="1">
      <alignment horizontal="center"/>
    </xf>
    <xf numFmtId="167" fontId="42" fillId="22" borderId="2" xfId="0" applyNumberFormat="1" applyFont="1" applyFill="1" applyBorder="1" applyAlignment="1">
      <alignment horizontal="center" vertical="center"/>
    </xf>
    <xf numFmtId="167" fontId="42" fillId="22" borderId="2" xfId="0" applyNumberFormat="1" applyFont="1" applyFill="1" applyBorder="1" applyAlignment="1">
      <alignment horizontal="center"/>
    </xf>
    <xf numFmtId="0" fontId="0" fillId="9" borderId="40" xfId="0" applyFill="1" applyBorder="1"/>
    <xf numFmtId="0" fontId="0" fillId="9" borderId="16" xfId="0" applyFill="1" applyBorder="1"/>
    <xf numFmtId="0" fontId="0" fillId="9" borderId="41" xfId="0" applyFill="1" applyBorder="1"/>
    <xf numFmtId="0" fontId="0" fillId="9" borderId="42" xfId="0" applyFill="1" applyBorder="1"/>
    <xf numFmtId="0" fontId="1" fillId="21" borderId="2" xfId="0" applyFont="1" applyFill="1" applyBorder="1" applyAlignment="1">
      <alignment horizontal="center" vertical="center"/>
    </xf>
    <xf numFmtId="0" fontId="9" fillId="4" borderId="19" xfId="0" applyFont="1" applyFill="1" applyBorder="1" applyAlignment="1">
      <alignment horizontal="right" vertical="center" wrapText="1"/>
    </xf>
  </cellXfs>
  <cellStyles count="1">
    <cellStyle name="Normal" xfId="0" builtinId="0"/>
  </cellStyles>
  <dxfs count="0"/>
  <tableStyles count="0" defaultTableStyle="TableStyleMedium2" defaultPivotStyle="PivotStyleLight16"/>
  <colors>
    <mruColors>
      <color rgb="FFFF66FF"/>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198120</xdr:colOff>
      <xdr:row>2</xdr:row>
      <xdr:rowOff>160020</xdr:rowOff>
    </xdr:from>
    <xdr:to>
      <xdr:col>7</xdr:col>
      <xdr:colOff>0</xdr:colOff>
      <xdr:row>9</xdr:row>
      <xdr:rowOff>53340</xdr:rowOff>
    </xdr:to>
    <xdr:pic>
      <xdr:nvPicPr>
        <xdr:cNvPr id="2" name="Picture 1" descr="thinking">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263140" y="480060"/>
          <a:ext cx="2667000" cy="16687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6</xdr:col>
      <xdr:colOff>405765</xdr:colOff>
      <xdr:row>1</xdr:row>
      <xdr:rowOff>20955</xdr:rowOff>
    </xdr:from>
    <xdr:to>
      <xdr:col>7</xdr:col>
      <xdr:colOff>560120</xdr:colOff>
      <xdr:row>2</xdr:row>
      <xdr:rowOff>93536</xdr:rowOff>
    </xdr:to>
    <xdr:sp macro="" textlink="">
      <xdr:nvSpPr>
        <xdr:cNvPr id="3" name="AutoShape 8">
          <a:extLst>
            <a:ext uri="{FF2B5EF4-FFF2-40B4-BE49-F238E27FC236}">
              <a16:creationId xmlns:a16="http://schemas.microsoft.com/office/drawing/2014/main" id="{00000000-0008-0000-0400-000003000000}"/>
            </a:ext>
          </a:extLst>
        </xdr:cNvPr>
        <xdr:cNvSpPr>
          <a:spLocks noChangeArrowheads="1"/>
        </xdr:cNvSpPr>
      </xdr:nvSpPr>
      <xdr:spPr bwMode="auto">
        <a:xfrm>
          <a:off x="4434840" y="159068"/>
          <a:ext cx="763955" cy="391668"/>
        </a:xfrm>
        <a:prstGeom prst="wedgeRectCallout">
          <a:avLst>
            <a:gd name="adj1" fmla="val -70876"/>
            <a:gd name="adj2" fmla="val 122494"/>
          </a:avLst>
        </a:prstGeom>
        <a:solidFill>
          <a:srgbClr val="FFFFFF"/>
        </a:solidFill>
        <a:ln w="9525">
          <a:solidFill>
            <a:srgbClr val="000000"/>
          </a:solidFill>
          <a:miter lim="800000"/>
          <a:headEnd/>
          <a:tailEnd/>
        </a:ln>
      </xdr:spPr>
      <xdr:txBody>
        <a:bodyPr vertOverflow="clip" wrap="square" lIns="18288" tIns="18288" rIns="0" bIns="0" anchor="t" upright="1"/>
        <a:lstStyle/>
        <a:p>
          <a:pPr algn="l" rtl="0">
            <a:defRPr sz="1000"/>
          </a:pPr>
          <a:r>
            <a:rPr lang="en-US" sz="800" b="0" i="0" u="none" strike="noStrike" baseline="0">
              <a:solidFill>
                <a:srgbClr val="000000"/>
              </a:solidFill>
              <a:latin typeface="Onyx"/>
            </a:rPr>
            <a:t>ought x ought = ought</a:t>
          </a:r>
        </a:p>
        <a:p>
          <a:pPr algn="l" rtl="0">
            <a:defRPr sz="1000"/>
          </a:pPr>
          <a:r>
            <a:rPr lang="en-US" sz="800" b="0" i="0" u="none" strike="noStrike" baseline="0">
              <a:solidFill>
                <a:srgbClr val="000000"/>
              </a:solidFill>
              <a:latin typeface="Onyx"/>
            </a:rPr>
            <a:t>ought x one = ought</a:t>
          </a:r>
        </a:p>
        <a:p>
          <a:pPr algn="l" rtl="0">
            <a:defRPr sz="1000"/>
          </a:pPr>
          <a:r>
            <a:rPr lang="en-US" sz="800" b="0" i="0" u="none" strike="noStrike" baseline="0">
              <a:solidFill>
                <a:srgbClr val="000000"/>
              </a:solidFill>
              <a:latin typeface="Onyx"/>
            </a:rPr>
            <a:t>ought x two = ought</a:t>
          </a:r>
        </a:p>
      </xdr:txBody>
    </xdr:sp>
    <xdr:clientData/>
  </xdr:twoCellAnchor>
  <xdr:twoCellAnchor editAs="oneCell">
    <xdr:from>
      <xdr:col>5</xdr:col>
      <xdr:colOff>434340</xdr:colOff>
      <xdr:row>6</xdr:row>
      <xdr:rowOff>64770</xdr:rowOff>
    </xdr:from>
    <xdr:to>
      <xdr:col>5</xdr:col>
      <xdr:colOff>579120</xdr:colOff>
      <xdr:row>6</xdr:row>
      <xdr:rowOff>171450</xdr:rowOff>
    </xdr:to>
    <xdr:pic>
      <xdr:nvPicPr>
        <xdr:cNvPr id="4" name="Picture 9" descr="flying WV">
          <a:extLst>
            <a:ext uri="{FF2B5EF4-FFF2-40B4-BE49-F238E27FC236}">
              <a16:creationId xmlns:a16="http://schemas.microsoft.com/office/drawing/2014/main" id="{00000000-0008-0000-0400-000004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853815" y="1360170"/>
          <a:ext cx="144780" cy="1066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249977111117893"/>
  </sheetPr>
  <dimension ref="A1:M28"/>
  <sheetViews>
    <sheetView showGridLines="0" showRowColHeaders="0" zoomScale="175" zoomScaleNormal="175" workbookViewId="0">
      <selection activeCell="C16" sqref="C16"/>
    </sheetView>
  </sheetViews>
  <sheetFormatPr defaultRowHeight="15" x14ac:dyDescent="0.25"/>
  <cols>
    <col min="1" max="1" width="1" customWidth="1"/>
    <col min="2" max="2" width="17.28515625" customWidth="1"/>
    <col min="3" max="3" width="8.28515625" customWidth="1"/>
    <col min="4" max="4" width="8" customWidth="1"/>
    <col min="5" max="5" width="10.42578125" customWidth="1"/>
    <col min="6" max="6" width="1.28515625" customWidth="1"/>
    <col min="7" max="7" width="15" customWidth="1"/>
    <col min="8" max="8" width="7.42578125" customWidth="1"/>
    <col min="9" max="9" width="2.7109375" customWidth="1"/>
    <col min="10" max="10" width="8.42578125" customWidth="1"/>
    <col min="11" max="11" width="15.7109375" customWidth="1"/>
    <col min="12" max="12" width="1.7109375" customWidth="1"/>
  </cols>
  <sheetData>
    <row r="1" spans="1:13" ht="6.6" customHeight="1" x14ac:dyDescent="0.25">
      <c r="A1" s="2"/>
      <c r="B1" s="2"/>
      <c r="C1" s="2"/>
      <c r="D1" s="2"/>
      <c r="E1" s="2"/>
      <c r="F1" s="2"/>
      <c r="G1" s="2"/>
      <c r="H1" s="2"/>
      <c r="I1" s="2"/>
      <c r="J1" s="2"/>
      <c r="K1" s="2"/>
      <c r="L1" s="2"/>
      <c r="M1" s="3"/>
    </row>
    <row r="2" spans="1:13" ht="42" thickBot="1" x14ac:dyDescent="0.35">
      <c r="A2" s="2"/>
      <c r="B2" s="97" t="s">
        <v>75</v>
      </c>
      <c r="C2" s="5"/>
      <c r="D2" s="5"/>
      <c r="E2" s="5"/>
      <c r="F2" s="2"/>
      <c r="G2" s="144" t="s">
        <v>131</v>
      </c>
      <c r="H2" s="34" t="s">
        <v>16</v>
      </c>
      <c r="I2" s="34"/>
      <c r="J2" s="34" t="s">
        <v>17</v>
      </c>
      <c r="K2" s="35"/>
      <c r="L2" s="2"/>
      <c r="M2" s="3"/>
    </row>
    <row r="3" spans="1:13" ht="16.5" thickTop="1" x14ac:dyDescent="0.3">
      <c r="A3" s="2"/>
      <c r="B3" s="9" t="s">
        <v>88</v>
      </c>
      <c r="C3" s="10"/>
      <c r="D3" s="10"/>
      <c r="E3" s="10"/>
      <c r="F3" s="2"/>
      <c r="G3" s="156" t="s">
        <v>18</v>
      </c>
      <c r="H3" s="36">
        <f>+B12/2</f>
        <v>300</v>
      </c>
      <c r="I3" s="141" t="s">
        <v>130</v>
      </c>
      <c r="J3" s="36">
        <f>+B12/3</f>
        <v>200</v>
      </c>
      <c r="K3" s="146" t="s">
        <v>130</v>
      </c>
      <c r="L3" s="2"/>
      <c r="M3" s="11"/>
    </row>
    <row r="4" spans="1:13" ht="15.75" x14ac:dyDescent="0.3">
      <c r="A4" s="2"/>
      <c r="B4" s="9" t="s">
        <v>2</v>
      </c>
      <c r="C4" s="10"/>
      <c r="D4" s="10"/>
      <c r="E4" s="10"/>
      <c r="F4" s="2"/>
      <c r="G4" s="156" t="s">
        <v>19</v>
      </c>
      <c r="H4" s="36">
        <f>+H3*0.6</f>
        <v>180</v>
      </c>
      <c r="I4" s="141" t="s">
        <v>130</v>
      </c>
      <c r="J4" s="36">
        <f>+J3*0.6</f>
        <v>120</v>
      </c>
      <c r="K4" s="146" t="s">
        <v>130</v>
      </c>
      <c r="L4" s="2"/>
      <c r="M4" s="3"/>
    </row>
    <row r="5" spans="1:13" x14ac:dyDescent="0.25">
      <c r="A5" s="2"/>
      <c r="B5" s="14" t="s">
        <v>3</v>
      </c>
      <c r="C5" s="13">
        <v>25</v>
      </c>
      <c r="D5" s="89" t="s">
        <v>4</v>
      </c>
      <c r="E5" s="10"/>
      <c r="F5" s="2"/>
      <c r="G5" s="156" t="s">
        <v>122</v>
      </c>
      <c r="H5" s="36">
        <f>+H3*0.75</f>
        <v>225</v>
      </c>
      <c r="I5" s="141" t="s">
        <v>130</v>
      </c>
      <c r="J5" s="36">
        <f>+J3*0.75</f>
        <v>150</v>
      </c>
      <c r="K5" s="146" t="s">
        <v>130</v>
      </c>
      <c r="L5" s="2"/>
      <c r="M5" s="3"/>
    </row>
    <row r="6" spans="1:13" x14ac:dyDescent="0.25">
      <c r="A6" s="2"/>
      <c r="B6" s="14" t="s">
        <v>6</v>
      </c>
      <c r="C6" s="13">
        <v>2</v>
      </c>
      <c r="D6" s="10"/>
      <c r="E6" s="10"/>
      <c r="F6" s="2"/>
      <c r="G6" s="157" t="s">
        <v>20</v>
      </c>
      <c r="H6" s="36">
        <f>+H3</f>
        <v>300</v>
      </c>
      <c r="I6" s="141" t="s">
        <v>130</v>
      </c>
      <c r="J6" s="142" t="s">
        <v>12</v>
      </c>
      <c r="K6" s="145" t="s">
        <v>12</v>
      </c>
      <c r="L6" s="2"/>
      <c r="M6" s="3"/>
    </row>
    <row r="7" spans="1:13" ht="15.75" thickBot="1" x14ac:dyDescent="0.3">
      <c r="A7" s="2"/>
      <c r="B7" s="2"/>
      <c r="C7" s="2"/>
      <c r="D7" s="2"/>
      <c r="E7" s="2"/>
      <c r="F7" s="2"/>
      <c r="G7" s="158" t="s">
        <v>21</v>
      </c>
      <c r="H7" s="143" t="s">
        <v>12</v>
      </c>
      <c r="I7" s="140"/>
      <c r="J7" s="119">
        <f>+J3</f>
        <v>200</v>
      </c>
      <c r="K7" s="150" t="s">
        <v>130</v>
      </c>
      <c r="L7" s="2"/>
      <c r="M7" s="3"/>
    </row>
    <row r="8" spans="1:13" ht="15.75" thickTop="1" x14ac:dyDescent="0.25">
      <c r="A8" s="2"/>
      <c r="B8" s="15" t="s">
        <v>8</v>
      </c>
      <c r="C8" s="16">
        <f>IF(+C6&lt;=4, 280, +C6*70)</f>
        <v>280</v>
      </c>
      <c r="D8" s="90" t="s">
        <v>73</v>
      </c>
      <c r="E8" s="10"/>
      <c r="F8" s="2"/>
      <c r="G8" s="144" t="s">
        <v>132</v>
      </c>
      <c r="H8" s="33"/>
      <c r="I8" s="33"/>
      <c r="J8" s="33"/>
      <c r="K8" s="33"/>
      <c r="L8" s="2"/>
      <c r="M8" s="3" t="s">
        <v>12</v>
      </c>
    </row>
    <row r="9" spans="1:13" x14ac:dyDescent="0.25">
      <c r="A9" s="2"/>
      <c r="B9" s="15" t="s">
        <v>10</v>
      </c>
      <c r="C9" s="19">
        <f>IF(+C6&lt;=4, 1000, ((+C6-4)*250)+1000)</f>
        <v>1000</v>
      </c>
      <c r="D9" s="90" t="s">
        <v>11</v>
      </c>
      <c r="E9" s="10"/>
      <c r="F9" s="2"/>
      <c r="G9" s="155" t="s">
        <v>123</v>
      </c>
      <c r="H9" s="36">
        <f>ROUNDUP((B12/13),0)</f>
        <v>47</v>
      </c>
      <c r="I9" s="154" t="s">
        <v>22</v>
      </c>
      <c r="J9" s="36">
        <f>ROUNDUP((+B12/20),0)</f>
        <v>30</v>
      </c>
      <c r="K9" s="139" t="s">
        <v>127</v>
      </c>
      <c r="L9" s="2"/>
      <c r="M9" s="3"/>
    </row>
    <row r="10" spans="1:13" x14ac:dyDescent="0.25">
      <c r="A10" s="2"/>
      <c r="B10" s="2"/>
      <c r="C10" s="2"/>
      <c r="D10" s="2"/>
      <c r="E10" s="2"/>
      <c r="F10" s="2"/>
      <c r="G10" s="155" t="s">
        <v>124</v>
      </c>
      <c r="H10" s="36">
        <f>ROUNDUP((B12/18),0)</f>
        <v>34</v>
      </c>
      <c r="I10" s="154" t="s">
        <v>22</v>
      </c>
      <c r="J10" s="36">
        <f>ROUNDUP((B12/25),0)</f>
        <v>24</v>
      </c>
      <c r="K10" s="139" t="s">
        <v>128</v>
      </c>
      <c r="L10" s="2"/>
      <c r="M10" s="3"/>
    </row>
    <row r="11" spans="1:13" x14ac:dyDescent="0.25">
      <c r="A11" s="2"/>
      <c r="B11" s="21" t="s">
        <v>13</v>
      </c>
      <c r="C11" s="22" t="s">
        <v>14</v>
      </c>
      <c r="D11" s="23"/>
      <c r="E11" s="24"/>
      <c r="F11" s="2"/>
      <c r="G11" s="155" t="s">
        <v>125</v>
      </c>
      <c r="H11" s="36">
        <f>ROUNDUP((B12/13),0)</f>
        <v>47</v>
      </c>
      <c r="I11" s="154" t="s">
        <v>22</v>
      </c>
      <c r="J11" s="36">
        <f>ROUNDUP((B12/31),0)</f>
        <v>20</v>
      </c>
      <c r="K11" s="139" t="s">
        <v>129</v>
      </c>
      <c r="L11" s="2"/>
      <c r="M11" s="3"/>
    </row>
    <row r="12" spans="1:13" x14ac:dyDescent="0.25">
      <c r="A12" s="2"/>
      <c r="B12" s="26">
        <f>IF(AND(+C5&gt;=5,+C5&lt;=30), +C6*300, +C6*400)</f>
        <v>600</v>
      </c>
      <c r="C12" s="27"/>
      <c r="D12" s="28">
        <f>+B12*1.3</f>
        <v>780</v>
      </c>
      <c r="E12" s="24"/>
      <c r="F12" s="2"/>
      <c r="G12" s="155" t="s">
        <v>126</v>
      </c>
      <c r="H12" s="36">
        <f>ROUNDUP((B12/17),0)</f>
        <v>36</v>
      </c>
      <c r="I12" s="154" t="s">
        <v>22</v>
      </c>
      <c r="J12" s="36">
        <f>ROUNDUP((B12/16),0)</f>
        <v>38</v>
      </c>
      <c r="K12" s="159" t="s">
        <v>139</v>
      </c>
      <c r="L12" s="2"/>
      <c r="M12" s="3"/>
    </row>
    <row r="13" spans="1:13" ht="15.75" thickBot="1" x14ac:dyDescent="0.3">
      <c r="A13" s="2"/>
      <c r="B13" s="31" t="str">
        <f>IF(+C8&gt;3000, "      Environmental Engineering must review these plans", " ")</f>
        <v xml:space="preserve"> </v>
      </c>
      <c r="C13" s="2"/>
      <c r="D13" s="2"/>
      <c r="E13" s="2"/>
      <c r="F13" s="2"/>
      <c r="G13" s="155" t="s">
        <v>133</v>
      </c>
      <c r="H13" s="151">
        <f>ROUNDUP((B12/24),0)</f>
        <v>25</v>
      </c>
      <c r="I13" s="154" t="s">
        <v>22</v>
      </c>
      <c r="J13" s="151">
        <f>ROUNDUP((B12/20),0)</f>
        <v>30</v>
      </c>
      <c r="K13" s="159" t="s">
        <v>140</v>
      </c>
      <c r="L13" s="2"/>
      <c r="M13" s="3"/>
    </row>
    <row r="14" spans="1:13" ht="15.75" thickTop="1" x14ac:dyDescent="0.25">
      <c r="A14" s="2"/>
      <c r="B14" s="32" t="str">
        <f>IF(AND(+C8&gt;1000,+C8&lt;=3000), "     Consult with the Public Health Sanitation Divison", " ")</f>
        <v xml:space="preserve"> </v>
      </c>
      <c r="C14" s="2"/>
      <c r="D14" s="2"/>
      <c r="E14" s="2"/>
      <c r="F14" s="2"/>
      <c r="G14" s="152" t="s">
        <v>135</v>
      </c>
      <c r="H14" s="164">
        <f>IF(+C5&lt;5,"Contact LHD", IF(AND(+C5&gt;=5,+C5&lt;=30), 8*C6, IF(+C5&lt;=60, 11*C6, "Contact LHD")))</f>
        <v>16</v>
      </c>
      <c r="I14" s="163" t="s">
        <v>138</v>
      </c>
      <c r="J14" s="153"/>
      <c r="K14" s="153"/>
      <c r="L14" s="2"/>
      <c r="M14" s="3"/>
    </row>
    <row r="15" spans="1:13" x14ac:dyDescent="0.25">
      <c r="A15" s="2"/>
      <c r="B15" s="2"/>
      <c r="C15" s="2"/>
      <c r="D15" s="2"/>
      <c r="E15" s="2"/>
      <c r="F15" s="2"/>
      <c r="G15" s="162" t="s">
        <v>137</v>
      </c>
      <c r="H15" s="161" t="s">
        <v>136</v>
      </c>
      <c r="I15" s="33"/>
      <c r="J15" s="13">
        <v>48</v>
      </c>
      <c r="K15" s="33" t="s">
        <v>22</v>
      </c>
      <c r="L15" s="2"/>
      <c r="M15" s="3"/>
    </row>
    <row r="16" spans="1:13" x14ac:dyDescent="0.25">
      <c r="A16" s="2"/>
      <c r="B16" s="2"/>
      <c r="C16" s="2"/>
      <c r="D16" s="2"/>
      <c r="E16" s="2"/>
      <c r="F16" s="2"/>
      <c r="G16" s="33"/>
      <c r="H16" s="170" t="s">
        <v>134</v>
      </c>
      <c r="I16" s="33"/>
      <c r="J16" s="160">
        <f>ROUNDUP((J15*1.3),0)</f>
        <v>63</v>
      </c>
      <c r="K16" s="33" t="s">
        <v>22</v>
      </c>
      <c r="L16" s="2"/>
      <c r="M16" s="3"/>
    </row>
    <row r="17" spans="2:13" ht="6" customHeight="1" x14ac:dyDescent="0.25">
      <c r="B17" s="2"/>
      <c r="C17" s="2"/>
      <c r="D17" s="2"/>
      <c r="E17" s="2"/>
      <c r="F17" s="2"/>
      <c r="G17" s="147"/>
      <c r="H17" s="148"/>
      <c r="I17" s="148"/>
      <c r="J17" s="149"/>
      <c r="K17" s="2"/>
      <c r="L17" s="2"/>
      <c r="M17" s="3"/>
    </row>
    <row r="18" spans="2:13" x14ac:dyDescent="0.25">
      <c r="F18" s="3"/>
      <c r="G18" s="40"/>
      <c r="H18" s="3"/>
      <c r="I18" s="3"/>
      <c r="J18" s="3"/>
      <c r="K18" s="3"/>
      <c r="L18" s="3"/>
      <c r="M18" s="3"/>
    </row>
    <row r="19" spans="2:13" x14ac:dyDescent="0.25">
      <c r="F19" s="3"/>
      <c r="G19" s="40"/>
      <c r="H19" s="3"/>
      <c r="I19" s="3"/>
      <c r="J19" s="3"/>
      <c r="K19" s="3"/>
      <c r="L19" s="3"/>
      <c r="M19" s="3"/>
    </row>
    <row r="20" spans="2:13" x14ac:dyDescent="0.25">
      <c r="F20" s="3"/>
      <c r="G20" s="40"/>
      <c r="H20" s="3"/>
      <c r="I20" s="3"/>
      <c r="J20" s="3"/>
      <c r="K20" s="3"/>
      <c r="L20" s="3"/>
      <c r="M20" s="3"/>
    </row>
    <row r="21" spans="2:13" x14ac:dyDescent="0.25">
      <c r="F21" s="3"/>
      <c r="G21" s="40"/>
      <c r="H21" s="3"/>
      <c r="I21" s="3"/>
      <c r="J21" s="3"/>
      <c r="K21" s="3"/>
      <c r="L21" s="3"/>
      <c r="M21" s="3"/>
    </row>
    <row r="22" spans="2:13" x14ac:dyDescent="0.25">
      <c r="F22" s="3"/>
      <c r="G22" s="40"/>
      <c r="H22" s="3"/>
      <c r="I22" s="3"/>
      <c r="J22" s="3"/>
      <c r="K22" s="3"/>
      <c r="L22" s="3"/>
      <c r="M22" s="3"/>
    </row>
    <row r="23" spans="2:13" x14ac:dyDescent="0.25">
      <c r="F23" s="3"/>
      <c r="G23" s="40"/>
      <c r="H23" s="3"/>
      <c r="I23" s="3"/>
      <c r="J23" s="3"/>
      <c r="K23" s="3"/>
      <c r="L23" s="3"/>
      <c r="M23" s="3"/>
    </row>
    <row r="24" spans="2:13" x14ac:dyDescent="0.25">
      <c r="F24" s="3"/>
      <c r="G24" s="40"/>
      <c r="H24" s="3"/>
      <c r="I24" s="3"/>
      <c r="J24" s="3"/>
      <c r="K24" s="3"/>
      <c r="L24" s="3"/>
      <c r="M24" s="3"/>
    </row>
    <row r="25" spans="2:13" x14ac:dyDescent="0.25">
      <c r="F25" s="3"/>
      <c r="G25" s="40"/>
      <c r="H25" s="3"/>
      <c r="I25" s="3"/>
      <c r="J25" s="3"/>
      <c r="K25" s="3"/>
      <c r="L25" s="3"/>
      <c r="M25" s="3"/>
    </row>
    <row r="26" spans="2:13" x14ac:dyDescent="0.25">
      <c r="F26" s="3"/>
      <c r="G26" s="40"/>
      <c r="H26" s="3"/>
      <c r="I26" s="3"/>
      <c r="J26" s="3"/>
      <c r="K26" s="3"/>
      <c r="L26" s="3"/>
      <c r="M26" s="3"/>
    </row>
    <row r="27" spans="2:13" x14ac:dyDescent="0.25">
      <c r="F27" s="3"/>
      <c r="G27" s="40"/>
      <c r="H27" s="3"/>
      <c r="I27" s="3"/>
      <c r="J27" s="3"/>
      <c r="K27" s="3"/>
      <c r="L27" s="3"/>
      <c r="M27" s="3"/>
    </row>
    <row r="28" spans="2:13" x14ac:dyDescent="0.25">
      <c r="F28" s="3"/>
      <c r="G28" s="3"/>
      <c r="H28" s="3"/>
      <c r="I28" s="3"/>
      <c r="J28" s="3"/>
      <c r="K28" s="3"/>
      <c r="L28" s="3"/>
      <c r="M28" s="3"/>
    </row>
  </sheetData>
  <sheetProtection password="DE85" sheet="1" objects="1" scenarios="1"/>
  <dataValidations count="2">
    <dataValidation type="whole" allowBlank="1" showInputMessage="1" showErrorMessage="1" errorTitle="bedrooms" error="Enter whole numbers only. You must have at least one bedroom.  If not, use the chart to the left, &quot;Other Than Single-Family Dwelling&quot;.  " prompt="Enter the total number of bedrooms - whole numbers only." sqref="C6">
      <formula1>1</formula1>
      <formula2>99</formula2>
    </dataValidation>
    <dataValidation type="decimal" allowBlank="1" showInputMessage="1" showErrorMessage="1" errorTitle="bad perc" error="Your perc time indicates that you must contact your local health department." prompt="Enter the perculation time in minutes per inch." sqref="C5">
      <formula1>5</formula1>
      <formula2>60</formula2>
    </dataValidation>
  </dataValidations>
  <pageMargins left="0.7" right="0.7" top="0.75" bottom="0.75" header="0.3" footer="0.3"/>
  <pageSetup scale="125" orientation="landscape" verticalDpi="4"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A1:M28"/>
  <sheetViews>
    <sheetView showGridLines="0" showRowColHeaders="0" tabSelected="1" zoomScale="190" zoomScaleNormal="190" workbookViewId="0">
      <selection activeCell="L7" sqref="L7"/>
    </sheetView>
  </sheetViews>
  <sheetFormatPr defaultRowHeight="15" x14ac:dyDescent="0.25"/>
  <cols>
    <col min="1" max="1" width="1.140625" customWidth="1"/>
    <col min="2" max="2" width="17.7109375" customWidth="1"/>
    <col min="3" max="3" width="8.42578125" customWidth="1"/>
    <col min="4" max="4" width="8.28515625" customWidth="1"/>
    <col min="5" max="5" width="10.7109375" customWidth="1"/>
    <col min="6" max="6" width="1" customWidth="1"/>
    <col min="7" max="7" width="16.85546875" customWidth="1"/>
    <col min="8" max="8" width="8.42578125" customWidth="1"/>
    <col min="9" max="9" width="4.42578125" customWidth="1"/>
    <col min="10" max="10" width="11.7109375" customWidth="1"/>
    <col min="11" max="11" width="12.42578125" customWidth="1"/>
    <col min="12" max="12" width="9.7109375" customWidth="1"/>
  </cols>
  <sheetData>
    <row r="1" spans="1:13" ht="9.6" customHeight="1" x14ac:dyDescent="0.25">
      <c r="A1" s="1"/>
      <c r="B1" s="1"/>
      <c r="C1" s="1"/>
      <c r="D1" s="1"/>
      <c r="E1" s="1"/>
      <c r="F1" s="1"/>
      <c r="G1" s="1"/>
      <c r="H1" s="1"/>
      <c r="I1" s="1"/>
      <c r="J1" s="1"/>
      <c r="K1" s="1"/>
      <c r="L1" s="3"/>
      <c r="M1" s="3"/>
    </row>
    <row r="2" spans="1:13" ht="33.75" thickBot="1" x14ac:dyDescent="0.45">
      <c r="A2" s="1"/>
      <c r="B2" s="4" t="s">
        <v>0</v>
      </c>
      <c r="C2" s="5"/>
      <c r="D2" s="5"/>
      <c r="E2" s="5"/>
      <c r="F2" s="1"/>
      <c r="G2" s="144" t="s">
        <v>131</v>
      </c>
      <c r="H2" s="34" t="s">
        <v>16</v>
      </c>
      <c r="I2" s="34"/>
      <c r="J2" s="34" t="s">
        <v>17</v>
      </c>
      <c r="K2" s="35"/>
      <c r="L2" s="6"/>
      <c r="M2" s="3"/>
    </row>
    <row r="3" spans="1:13" ht="16.5" thickTop="1" x14ac:dyDescent="0.3">
      <c r="A3" s="1"/>
      <c r="B3" s="7" t="s">
        <v>89</v>
      </c>
      <c r="C3" s="8"/>
      <c r="D3" s="8"/>
      <c r="E3" s="8"/>
      <c r="F3" s="1"/>
      <c r="G3" s="156" t="s">
        <v>18</v>
      </c>
      <c r="H3" s="36">
        <f>+B13/2</f>
        <v>875</v>
      </c>
      <c r="I3" s="141" t="s">
        <v>130</v>
      </c>
      <c r="J3" s="36">
        <f>+B13/3</f>
        <v>583.33333333333337</v>
      </c>
      <c r="K3" s="146" t="s">
        <v>130</v>
      </c>
      <c r="L3" s="6"/>
      <c r="M3" s="11"/>
    </row>
    <row r="4" spans="1:13" ht="15.75" x14ac:dyDescent="0.3">
      <c r="A4" s="1"/>
      <c r="B4" s="7" t="s">
        <v>1</v>
      </c>
      <c r="C4" s="8"/>
      <c r="D4" s="8"/>
      <c r="E4" s="8"/>
      <c r="F4" s="1"/>
      <c r="G4" s="156" t="s">
        <v>19</v>
      </c>
      <c r="H4" s="36">
        <f>+H3*0.6</f>
        <v>525</v>
      </c>
      <c r="I4" s="141" t="s">
        <v>130</v>
      </c>
      <c r="J4" s="36">
        <f>+J3*0.6</f>
        <v>350</v>
      </c>
      <c r="K4" s="146" t="s">
        <v>130</v>
      </c>
      <c r="L4" s="3"/>
      <c r="M4" s="3"/>
    </row>
    <row r="5" spans="1:13" x14ac:dyDescent="0.25">
      <c r="A5" s="1"/>
      <c r="B5" s="12" t="s">
        <v>3</v>
      </c>
      <c r="C5" s="13">
        <v>25</v>
      </c>
      <c r="D5" s="91" t="s">
        <v>4</v>
      </c>
      <c r="E5" s="8"/>
      <c r="F5" s="1"/>
      <c r="G5" s="156" t="s">
        <v>122</v>
      </c>
      <c r="H5" s="36">
        <f>+H3*0.75</f>
        <v>656.25</v>
      </c>
      <c r="I5" s="141" t="s">
        <v>130</v>
      </c>
      <c r="J5" s="36">
        <f>+J3*0.75</f>
        <v>437.5</v>
      </c>
      <c r="K5" s="146" t="s">
        <v>130</v>
      </c>
      <c r="L5" s="3"/>
      <c r="M5" s="3"/>
    </row>
    <row r="6" spans="1:13" x14ac:dyDescent="0.25">
      <c r="A6" s="1"/>
      <c r="B6" s="12" t="s">
        <v>5</v>
      </c>
      <c r="C6" s="13">
        <v>100</v>
      </c>
      <c r="D6" s="8"/>
      <c r="E6" s="8"/>
      <c r="F6" s="1"/>
      <c r="G6" s="157" t="s">
        <v>20</v>
      </c>
      <c r="H6" s="36">
        <f>+H3</f>
        <v>875</v>
      </c>
      <c r="I6" s="141" t="s">
        <v>130</v>
      </c>
      <c r="J6" s="142" t="s">
        <v>12</v>
      </c>
      <c r="K6" s="145" t="s">
        <v>12</v>
      </c>
      <c r="L6" s="3"/>
      <c r="M6" s="3"/>
    </row>
    <row r="7" spans="1:13" ht="15.75" thickBot="1" x14ac:dyDescent="0.3">
      <c r="A7" s="1"/>
      <c r="B7" s="12" t="s">
        <v>7</v>
      </c>
      <c r="C7" s="96">
        <v>7</v>
      </c>
      <c r="D7" s="92" t="s">
        <v>73</v>
      </c>
      <c r="E7" s="8"/>
      <c r="F7" s="1"/>
      <c r="G7" s="158" t="s">
        <v>21</v>
      </c>
      <c r="H7" s="143" t="s">
        <v>12</v>
      </c>
      <c r="I7" s="140"/>
      <c r="J7" s="119">
        <f>+J3</f>
        <v>583.33333333333337</v>
      </c>
      <c r="K7" s="150" t="s">
        <v>130</v>
      </c>
      <c r="L7" s="3"/>
      <c r="M7" s="3"/>
    </row>
    <row r="8" spans="1:13" ht="15.75" thickTop="1" x14ac:dyDescent="0.25">
      <c r="A8" s="1"/>
      <c r="B8" s="1"/>
      <c r="C8" s="1"/>
      <c r="D8" s="1"/>
      <c r="E8" s="1"/>
      <c r="F8" s="1"/>
      <c r="G8" s="144" t="s">
        <v>132</v>
      </c>
      <c r="H8" s="33"/>
      <c r="I8" s="33"/>
      <c r="J8" s="33"/>
      <c r="K8" s="33"/>
      <c r="L8" s="3"/>
      <c r="M8" s="3"/>
    </row>
    <row r="9" spans="1:13" x14ac:dyDescent="0.25">
      <c r="A9" s="1"/>
      <c r="B9" s="17" t="s">
        <v>9</v>
      </c>
      <c r="C9" s="18">
        <f>+C7*C6</f>
        <v>700</v>
      </c>
      <c r="D9" s="92" t="s">
        <v>73</v>
      </c>
      <c r="E9" s="8"/>
      <c r="F9" s="20"/>
      <c r="G9" s="155" t="s">
        <v>123</v>
      </c>
      <c r="H9" s="36">
        <f>ROUNDUP((B13/13),0)</f>
        <v>135</v>
      </c>
      <c r="I9" s="154" t="s">
        <v>22</v>
      </c>
      <c r="J9" s="36">
        <f>ROUNDUP((+B13/20),0)</f>
        <v>88</v>
      </c>
      <c r="K9" s="139" t="s">
        <v>127</v>
      </c>
      <c r="L9" s="3"/>
      <c r="M9" s="3"/>
    </row>
    <row r="10" spans="1:13" x14ac:dyDescent="0.25">
      <c r="A10" s="1"/>
      <c r="B10" s="93" t="s">
        <v>72</v>
      </c>
      <c r="C10" s="105">
        <f>IF(+C9&lt;=667, 1000, IF(AND(+C9&gt;667,+C9&lt;=1500), +C9*1.5, IF(AND(+C9&gt;1500,+C9&lt;=4000), (1000+(0.75*C9)), IF(+C9&gt;4000, +C9, “Invalid”))))</f>
        <v>1050</v>
      </c>
      <c r="D10" s="92" t="s">
        <v>74</v>
      </c>
      <c r="E10" s="8"/>
      <c r="F10" s="1"/>
      <c r="G10" s="155" t="s">
        <v>124</v>
      </c>
      <c r="H10" s="36">
        <f>ROUNDUP((B13/18),0)</f>
        <v>98</v>
      </c>
      <c r="I10" s="154" t="s">
        <v>22</v>
      </c>
      <c r="J10" s="36">
        <f>ROUNDUP((B13/25),0)</f>
        <v>70</v>
      </c>
      <c r="K10" s="139" t="s">
        <v>128</v>
      </c>
      <c r="L10" s="3"/>
      <c r="M10" s="3"/>
    </row>
    <row r="11" spans="1:13" x14ac:dyDescent="0.25">
      <c r="A11" s="1"/>
      <c r="B11" s="1"/>
      <c r="C11" s="1"/>
      <c r="D11" s="1"/>
      <c r="E11" s="20" t="s">
        <v>12</v>
      </c>
      <c r="F11" s="1"/>
      <c r="G11" s="155" t="s">
        <v>125</v>
      </c>
      <c r="H11" s="36">
        <f>ROUNDUP((B13/13),0)</f>
        <v>135</v>
      </c>
      <c r="I11" s="154" t="s">
        <v>22</v>
      </c>
      <c r="J11" s="36">
        <f>ROUNDUP((B13/31),0)</f>
        <v>57</v>
      </c>
      <c r="K11" s="139" t="s">
        <v>129</v>
      </c>
      <c r="L11" s="3"/>
      <c r="M11" s="3"/>
    </row>
    <row r="12" spans="1:13" x14ac:dyDescent="0.25">
      <c r="A12" s="1"/>
      <c r="B12" s="25" t="s">
        <v>13</v>
      </c>
      <c r="C12" s="22" t="s">
        <v>15</v>
      </c>
      <c r="D12" s="23"/>
      <c r="E12" s="24"/>
      <c r="F12" s="1"/>
      <c r="G12" s="155" t="s">
        <v>126</v>
      </c>
      <c r="H12" s="36">
        <f>ROUNDUP((B13/17),0)</f>
        <v>103</v>
      </c>
      <c r="I12" s="154" t="s">
        <v>22</v>
      </c>
      <c r="J12" s="36">
        <f>ROUNDUP((B13/16),0)</f>
        <v>110</v>
      </c>
      <c r="K12" s="159" t="s">
        <v>139</v>
      </c>
      <c r="L12" s="3"/>
      <c r="M12" s="3"/>
    </row>
    <row r="13" spans="1:13" ht="15.75" thickBot="1" x14ac:dyDescent="0.3">
      <c r="A13" s="1"/>
      <c r="B13" s="29">
        <f>IF(+C5&lt;5, "Consult with your local health department",IF(AND(+C5&gt;=5,+C5&lt;10),+C9*1.65,IF(AND(+C5&gt;=10,+C5&lt;30),+C9*2.5,IF(AND(+C5&gt;=30,+C5&lt;45),+C9*2.95,IF(AND(+C5&gt;=45,+C5&lt;=60),+C9*3.3, "Consult with your local health department")))))</f>
        <v>1750</v>
      </c>
      <c r="C13" s="30"/>
      <c r="D13" s="28">
        <f>+B13*1.3</f>
        <v>2275</v>
      </c>
      <c r="E13" s="24"/>
      <c r="F13" s="1"/>
      <c r="G13" s="155" t="s">
        <v>133</v>
      </c>
      <c r="H13" s="151">
        <f>ROUNDUP((B13/24),0)</f>
        <v>73</v>
      </c>
      <c r="I13" s="154" t="s">
        <v>22</v>
      </c>
      <c r="J13" s="151">
        <f>ROUNDUP((B13/20),0)</f>
        <v>88</v>
      </c>
      <c r="K13" s="159" t="s">
        <v>140</v>
      </c>
      <c r="L13" s="3"/>
      <c r="M13" s="3"/>
    </row>
    <row r="14" spans="1:13" ht="15.75" thickTop="1" x14ac:dyDescent="0.25">
      <c r="A14" s="1"/>
      <c r="B14" s="1"/>
      <c r="C14" s="1"/>
      <c r="D14" s="1"/>
      <c r="E14" s="1"/>
      <c r="F14" s="1"/>
      <c r="G14" s="152" t="s">
        <v>135</v>
      </c>
      <c r="H14" s="164">
        <f>ROUNDUP((B13/37.5),0)</f>
        <v>47</v>
      </c>
      <c r="I14" s="163" t="s">
        <v>138</v>
      </c>
      <c r="J14" s="153"/>
      <c r="K14" s="153"/>
      <c r="L14" s="3"/>
      <c r="M14" s="3"/>
    </row>
    <row r="15" spans="1:13" x14ac:dyDescent="0.25">
      <c r="A15" s="1"/>
      <c r="B15" s="94" t="str">
        <f>IF(C9&gt;3000, "   Environmental Engineering must review these plans", " ")</f>
        <v xml:space="preserve"> </v>
      </c>
      <c r="C15" s="1"/>
      <c r="D15" s="1"/>
      <c r="E15" s="1"/>
      <c r="F15" s="1"/>
      <c r="G15" s="162" t="s">
        <v>137</v>
      </c>
      <c r="H15" s="161" t="s">
        <v>136</v>
      </c>
      <c r="I15" s="33"/>
      <c r="J15" s="13">
        <v>48</v>
      </c>
      <c r="K15" s="33" t="s">
        <v>22</v>
      </c>
      <c r="L15" s="3"/>
      <c r="M15" s="3"/>
    </row>
    <row r="16" spans="1:13" ht="13.9" customHeight="1" x14ac:dyDescent="0.25">
      <c r="A16" s="1"/>
      <c r="B16" s="95" t="str">
        <f>IF(AND(+C9&gt;1000,+C9&lt;3000)," Contact Public Health Sanitation with this design"," ")</f>
        <v xml:space="preserve"> </v>
      </c>
      <c r="C16" s="1"/>
      <c r="D16" s="1"/>
      <c r="E16" s="1"/>
      <c r="F16" s="1"/>
      <c r="G16" s="33"/>
      <c r="H16" s="170" t="s">
        <v>134</v>
      </c>
      <c r="I16" s="33"/>
      <c r="J16" s="160">
        <f>ROUNDUP((J15*1.3),0)</f>
        <v>63</v>
      </c>
      <c r="K16" s="33" t="s">
        <v>22</v>
      </c>
      <c r="L16" s="3"/>
      <c r="M16" s="3"/>
    </row>
    <row r="17" spans="1:13" x14ac:dyDescent="0.25">
      <c r="A17" s="3"/>
      <c r="G17" s="3"/>
      <c r="H17" s="37"/>
      <c r="I17" s="38"/>
      <c r="J17" s="39"/>
      <c r="K17" s="3"/>
      <c r="L17" s="3"/>
      <c r="M17" s="3"/>
    </row>
    <row r="18" spans="1:13" x14ac:dyDescent="0.25">
      <c r="A18" s="3"/>
      <c r="G18" s="3"/>
      <c r="H18" s="40"/>
      <c r="I18" s="3"/>
      <c r="J18" s="3"/>
      <c r="K18" s="3"/>
      <c r="L18" s="3"/>
      <c r="M18" s="3"/>
    </row>
    <row r="19" spans="1:13" x14ac:dyDescent="0.25">
      <c r="A19" s="3"/>
      <c r="G19" s="3"/>
      <c r="H19" s="40"/>
      <c r="I19" s="3"/>
      <c r="J19" s="3"/>
      <c r="K19" s="3"/>
      <c r="L19" s="3"/>
      <c r="M19" s="3"/>
    </row>
    <row r="20" spans="1:13" x14ac:dyDescent="0.25">
      <c r="A20" s="3"/>
      <c r="G20" s="3"/>
      <c r="H20" s="40"/>
      <c r="I20" s="3"/>
      <c r="J20" s="3"/>
      <c r="K20" s="3"/>
      <c r="L20" s="3"/>
      <c r="M20" s="3"/>
    </row>
    <row r="21" spans="1:13" x14ac:dyDescent="0.25">
      <c r="A21" s="3"/>
      <c r="G21" s="3"/>
      <c r="H21" s="40"/>
      <c r="I21" s="3"/>
      <c r="J21" s="3"/>
      <c r="K21" s="3"/>
      <c r="L21" s="3"/>
      <c r="M21" s="3"/>
    </row>
    <row r="22" spans="1:13" x14ac:dyDescent="0.25">
      <c r="A22" s="3"/>
      <c r="G22" s="3"/>
      <c r="H22" s="40"/>
      <c r="I22" s="3"/>
      <c r="J22" s="3"/>
      <c r="K22" s="3"/>
      <c r="L22" s="3"/>
      <c r="M22" s="3"/>
    </row>
    <row r="23" spans="1:13" x14ac:dyDescent="0.25">
      <c r="A23" s="3"/>
      <c r="G23" s="3"/>
      <c r="H23" s="40"/>
      <c r="I23" s="3"/>
      <c r="J23" s="3"/>
      <c r="K23" s="3"/>
      <c r="L23" s="3"/>
      <c r="M23" s="3"/>
    </row>
    <row r="24" spans="1:13" x14ac:dyDescent="0.25">
      <c r="A24" s="3"/>
      <c r="G24" s="3"/>
      <c r="H24" s="40"/>
      <c r="I24" s="3"/>
      <c r="J24" s="3"/>
      <c r="K24" s="3"/>
      <c r="L24" s="3"/>
      <c r="M24" s="3"/>
    </row>
    <row r="25" spans="1:13" x14ac:dyDescent="0.25">
      <c r="A25" s="3"/>
      <c r="G25" s="3"/>
      <c r="H25" s="40"/>
      <c r="I25" s="3"/>
      <c r="J25" s="3"/>
      <c r="K25" s="3"/>
      <c r="L25" s="3"/>
      <c r="M25" s="3"/>
    </row>
    <row r="26" spans="1:13" x14ac:dyDescent="0.25">
      <c r="A26" s="3"/>
      <c r="G26" s="3"/>
      <c r="H26" s="40"/>
      <c r="I26" s="3"/>
      <c r="J26" s="3"/>
      <c r="K26" s="3"/>
      <c r="L26" s="3"/>
      <c r="M26" s="3"/>
    </row>
    <row r="27" spans="1:13" x14ac:dyDescent="0.25">
      <c r="A27" s="3"/>
      <c r="G27" s="3"/>
      <c r="H27" s="40"/>
      <c r="I27" s="3"/>
      <c r="J27" s="3"/>
      <c r="K27" s="3"/>
      <c r="L27" s="3"/>
      <c r="M27" s="3"/>
    </row>
    <row r="28" spans="1:13" x14ac:dyDescent="0.25">
      <c r="A28" s="3"/>
      <c r="G28" s="3"/>
      <c r="H28" s="3"/>
      <c r="I28" s="3"/>
      <c r="J28" s="3"/>
      <c r="K28" s="3"/>
      <c r="L28" s="3"/>
      <c r="M28" s="3"/>
    </row>
  </sheetData>
  <sheetProtection password="DE85" sheet="1" objects="1" scenarios="1"/>
  <dataValidations count="3">
    <dataValidation type="decimal" allowBlank="1" showInputMessage="1" showErrorMessage="1" error="Your perc time is outside the limits of this construciton.  Consult your local health department." prompt="Enter the perculation time in minutes per inch." sqref="C5">
      <formula1>5</formula1>
      <formula2>60</formula2>
    </dataValidation>
    <dataValidation allowBlank="1" showInputMessage="1" showErrorMessage="1" prompt="Enter the number of people who will use this facility in one day._x000a_" sqref="C6"/>
    <dataValidation type="whole" operator="greaterThanOrEqual" allowBlank="1" showInputMessage="1" showErrorMessage="1" error="You must enter at least one person." prompt="Enter the Unit Sewage Design Flow from TABLE 64-47-B MINIMUM DESIGN LOADINGS FOR SEWAGE TREATMENT FACILITIES." sqref="C7">
      <formula1>1</formula1>
    </dataValidation>
  </dataValidations>
  <pageMargins left="0.7" right="0.7" top="0.75" bottom="0.75" header="0.3" footer="0.3"/>
  <pageSetup scale="125"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Q30"/>
  <sheetViews>
    <sheetView showGridLines="0" showRowColHeaders="0" zoomScale="175" zoomScaleNormal="175" workbookViewId="0">
      <selection activeCell="G4" sqref="G4"/>
    </sheetView>
  </sheetViews>
  <sheetFormatPr defaultRowHeight="15" x14ac:dyDescent="0.25"/>
  <cols>
    <col min="1" max="1" width="1" customWidth="1"/>
    <col min="2" max="2" width="20.85546875" customWidth="1"/>
    <col min="3" max="3" width="6.85546875" customWidth="1"/>
    <col min="4" max="4" width="11.7109375" customWidth="1"/>
    <col min="5" max="5" width="1.140625" customWidth="1"/>
    <col min="6" max="6" width="24.140625" customWidth="1"/>
    <col min="7" max="7" width="11.28515625" customWidth="1"/>
    <col min="8" max="8" width="7.140625" customWidth="1"/>
    <col min="9" max="9" width="1.140625" customWidth="1"/>
    <col min="10" max="10" width="14.85546875" customWidth="1"/>
    <col min="11" max="11" width="8.85546875" customWidth="1"/>
    <col min="13" max="22" width="0" hidden="1" customWidth="1"/>
  </cols>
  <sheetData>
    <row r="1" spans="1:17" ht="16.5" thickTop="1" x14ac:dyDescent="0.25">
      <c r="A1" s="41"/>
      <c r="B1" s="42" t="str">
        <f>IF(+G3&gt;3000, "Environmental Engineering must review these plans", " ")</f>
        <v xml:space="preserve"> </v>
      </c>
      <c r="C1" s="41"/>
      <c r="D1" s="41"/>
      <c r="E1" s="41"/>
      <c r="F1" s="41"/>
      <c r="G1" s="41"/>
      <c r="H1" s="41"/>
      <c r="I1" s="41"/>
      <c r="J1" t="s">
        <v>12</v>
      </c>
    </row>
    <row r="2" spans="1:17" ht="16.5" thickBot="1" x14ac:dyDescent="0.3">
      <c r="A2" s="41"/>
      <c r="B2" s="43" t="str">
        <f>IF(AND(+G3&gt;1000,+G3&lt;=3000), "Consult with the Public Health Sanitation Division", " ")</f>
        <v xml:space="preserve"> </v>
      </c>
      <c r="C2" s="41"/>
      <c r="D2" s="41"/>
      <c r="E2" s="41"/>
      <c r="F2" s="41"/>
      <c r="G2" s="41"/>
      <c r="H2" s="41"/>
      <c r="I2" s="41"/>
    </row>
    <row r="3" spans="1:17" ht="19.5" thickTop="1" thickBot="1" x14ac:dyDescent="0.4">
      <c r="A3" s="41"/>
      <c r="B3" s="44" t="s">
        <v>90</v>
      </c>
      <c r="C3" s="45"/>
      <c r="D3" s="45"/>
      <c r="E3" s="46"/>
      <c r="F3" s="47" t="s">
        <v>9</v>
      </c>
      <c r="G3" s="48">
        <f>+C5*150</f>
        <v>750</v>
      </c>
      <c r="H3" s="49" t="s">
        <v>24</v>
      </c>
      <c r="I3" s="41"/>
      <c r="M3" s="50" t="s">
        <v>25</v>
      </c>
      <c r="N3">
        <f>(+C13/100)*16.2</f>
        <v>5.669999999999999</v>
      </c>
    </row>
    <row r="4" spans="1:17" ht="15.75" thickTop="1" x14ac:dyDescent="0.25">
      <c r="A4" s="51"/>
      <c r="B4" s="52" t="s">
        <v>26</v>
      </c>
      <c r="C4" s="53">
        <v>90</v>
      </c>
      <c r="D4" s="54" t="s">
        <v>4</v>
      </c>
      <c r="E4" s="46"/>
      <c r="F4" s="55" t="s">
        <v>27</v>
      </c>
      <c r="G4" s="56">
        <f>IF(+C5&lt;=4, 1000, ((+C5-4)*250)+1000)</f>
        <v>1250</v>
      </c>
      <c r="H4" s="57" t="s">
        <v>11</v>
      </c>
      <c r="I4" s="41"/>
      <c r="M4" s="50" t="s">
        <v>28</v>
      </c>
      <c r="N4" s="58">
        <f>IF(+C11=1, 4.1, IF(+C11=1.25, 6.4, IF(+C11=1.5, 9.2, IF(+C11=2, 16.2, IF(+C11=3, 36.7, “Invalid”)))))</f>
        <v>16.2</v>
      </c>
    </row>
    <row r="5" spans="1:17" x14ac:dyDescent="0.25">
      <c r="A5" s="51"/>
      <c r="B5" s="59" t="s">
        <v>6</v>
      </c>
      <c r="C5" s="13">
        <v>5</v>
      </c>
      <c r="D5" s="60"/>
      <c r="E5" s="46"/>
      <c r="F5" s="61" t="s">
        <v>29</v>
      </c>
      <c r="G5" s="62">
        <f>+G3*2</f>
        <v>1500</v>
      </c>
      <c r="H5" s="57" t="s">
        <v>11</v>
      </c>
      <c r="I5" s="41"/>
    </row>
    <row r="6" spans="1:17" x14ac:dyDescent="0.25">
      <c r="A6" s="51"/>
      <c r="B6" s="59" t="s">
        <v>30</v>
      </c>
      <c r="C6" s="128">
        <v>5</v>
      </c>
      <c r="D6" s="63" t="s">
        <v>31</v>
      </c>
      <c r="E6" s="46"/>
      <c r="F6" s="55" t="s">
        <v>32</v>
      </c>
      <c r="G6" s="99">
        <f>IF(AND(+C4&gt;=5,+C4&lt;=20), 0.5-(((+C4-5)*(1/15))*0.1), IF(AND(+C4&gt;20,+C4&lt;=40),0.4-(((+C4-20)*0.05)*0.1), IF(AND(+C4&gt;40,+C4&lt;=60),0.3- (((+C4-40)*0.05)*0.1), IF(AND(+C4&gt;60,+C4&lt;=90), 0.2-(((+C4-60)*(1/30))*0.1), IF(AND(+C4&gt;90,+C4&lt;=120), 0.1-(((+C4-90)*(1/30))*0.05), “Invalid”)))))</f>
        <v>0.1</v>
      </c>
      <c r="H6" s="64" t="s">
        <v>33</v>
      </c>
      <c r="I6" s="41"/>
      <c r="N6" t="s">
        <v>34</v>
      </c>
      <c r="O6">
        <v>130</v>
      </c>
      <c r="Q6" t="s">
        <v>35</v>
      </c>
    </row>
    <row r="7" spans="1:17" x14ac:dyDescent="0.25">
      <c r="A7" s="51"/>
      <c r="B7" s="59" t="s">
        <v>36</v>
      </c>
      <c r="C7" s="13">
        <v>5</v>
      </c>
      <c r="D7" s="63" t="s">
        <v>31</v>
      </c>
      <c r="E7" s="46"/>
      <c r="F7" s="55" t="s">
        <v>37</v>
      </c>
      <c r="G7" s="65">
        <f>+G3/G6</f>
        <v>7500</v>
      </c>
      <c r="H7" s="57" t="s">
        <v>38</v>
      </c>
      <c r="I7" s="41"/>
      <c r="N7" t="s">
        <v>39</v>
      </c>
      <c r="O7">
        <v>1</v>
      </c>
      <c r="Q7" t="s">
        <v>40</v>
      </c>
    </row>
    <row r="8" spans="1:17" x14ac:dyDescent="0.25">
      <c r="A8" s="51"/>
      <c r="B8" s="59" t="s">
        <v>41</v>
      </c>
      <c r="C8" s="13">
        <v>5</v>
      </c>
      <c r="D8" s="63" t="s">
        <v>42</v>
      </c>
      <c r="E8" s="46"/>
      <c r="F8" s="55" t="s">
        <v>43</v>
      </c>
      <c r="G8" s="65">
        <f>+G9/C7</f>
        <v>300</v>
      </c>
      <c r="H8" s="57" t="s">
        <v>44</v>
      </c>
      <c r="I8" s="41"/>
      <c r="N8" t="s">
        <v>45</v>
      </c>
      <c r="O8">
        <v>1</v>
      </c>
      <c r="Q8" t="s">
        <v>46</v>
      </c>
    </row>
    <row r="9" spans="1:17" x14ac:dyDescent="0.25">
      <c r="A9" s="51"/>
      <c r="B9" s="59" t="s">
        <v>47</v>
      </c>
      <c r="C9" s="13">
        <v>3</v>
      </c>
      <c r="D9" s="63" t="s">
        <v>31</v>
      </c>
      <c r="E9" s="46"/>
      <c r="F9" s="55" t="s">
        <v>48</v>
      </c>
      <c r="G9" s="62">
        <f>+G7/C6</f>
        <v>1500</v>
      </c>
      <c r="H9" s="57" t="s">
        <v>31</v>
      </c>
      <c r="I9" s="41"/>
    </row>
    <row r="10" spans="1:17" x14ac:dyDescent="0.25">
      <c r="A10" s="51"/>
      <c r="B10" s="59" t="s">
        <v>49</v>
      </c>
      <c r="C10" s="13">
        <v>5</v>
      </c>
      <c r="D10" s="63" t="s">
        <v>31</v>
      </c>
      <c r="E10" s="46"/>
      <c r="F10" s="66" t="s">
        <v>50</v>
      </c>
      <c r="G10" s="67">
        <f>(+G9/100)*1.5</f>
        <v>22.5</v>
      </c>
      <c r="H10" s="68" t="s">
        <v>51</v>
      </c>
      <c r="I10" s="41"/>
      <c r="N10" t="s">
        <v>52</v>
      </c>
      <c r="O10">
        <v>0.12813453</v>
      </c>
      <c r="Q10" t="s">
        <v>53</v>
      </c>
    </row>
    <row r="11" spans="1:17" x14ac:dyDescent="0.25">
      <c r="A11" s="51"/>
      <c r="B11" s="59" t="s">
        <v>54</v>
      </c>
      <c r="C11" s="69">
        <v>2</v>
      </c>
      <c r="D11" s="63" t="s">
        <v>55</v>
      </c>
      <c r="E11" s="46"/>
      <c r="F11" s="70" t="s">
        <v>56</v>
      </c>
      <c r="G11" s="71">
        <f>+G10*1.2666666</f>
        <v>28.4999985</v>
      </c>
      <c r="H11" s="72" t="s">
        <v>57</v>
      </c>
      <c r="I11" s="41"/>
    </row>
    <row r="12" spans="1:17" x14ac:dyDescent="0.25">
      <c r="A12" s="51"/>
      <c r="B12" s="59" t="s">
        <v>58</v>
      </c>
      <c r="C12" s="69">
        <v>2</v>
      </c>
      <c r="D12" s="63" t="s">
        <v>59</v>
      </c>
      <c r="E12" s="46"/>
      <c r="F12" s="70" t="s">
        <v>60</v>
      </c>
      <c r="G12" s="73">
        <f>IF(AND(+C9=1, C8=4), 0.18, IF(AND(C9=1, C8=5), 0.29, IF(AND(C9=1, C8=6), 0.42, IF(AND(C9=1, C8=7), 0.56, IF(AND(C9=2, C8=4), 0.26, IF(AND(C9=2, C8=5), 0.41, IF(AND(C9=2, C8=6), 0.59, IF(AND(C9=2, C8=7), 0.8, IF(AND(C9=3, C8=4), 0.32,IF(AND(C9=3,C8=5), 0.5, IF(AND(C9=3, C8=6), 0.72, IF(AND(C9=3, C8=7), 0.98, IF(AND(C9=4,C8=4),0.37, IF(AND(C9=4, C8=5), 0.58, IF(AND(C9=4, C8=6), 0.83, IF(AND(C9=4, C8=7), 1.13, IF(AND(C9=5, C8=4), 0.41, IF(AND(C9=5, C8=5), 0.64, IF(AND(C9=5, C8=6), 0.94, IF(AND(C9=5, C8=7), 1.26, “Invalid”))))))))))))))))))))</f>
        <v>0.5</v>
      </c>
      <c r="H12" s="72" t="s">
        <v>61</v>
      </c>
      <c r="I12" s="41"/>
    </row>
    <row r="13" spans="1:17" x14ac:dyDescent="0.25">
      <c r="A13" s="51"/>
      <c r="B13" s="74" t="s">
        <v>77</v>
      </c>
      <c r="C13" s="69">
        <v>35</v>
      </c>
      <c r="D13" s="57" t="s">
        <v>31</v>
      </c>
      <c r="E13" s="46"/>
      <c r="F13" s="55" t="s">
        <v>62</v>
      </c>
      <c r="G13" s="62">
        <f>(+N3+(5*(N4*(G9/100))))/C12</f>
        <v>610.33500000000004</v>
      </c>
      <c r="H13" s="57" t="s">
        <v>11</v>
      </c>
      <c r="I13" s="41"/>
      <c r="J13" s="75"/>
      <c r="N13" t="s">
        <v>63</v>
      </c>
    </row>
    <row r="14" spans="1:17" x14ac:dyDescent="0.25">
      <c r="A14" s="51"/>
      <c r="B14" s="41"/>
      <c r="C14" s="41"/>
      <c r="D14" s="41"/>
      <c r="E14" s="46"/>
      <c r="F14" s="76" t="s">
        <v>64</v>
      </c>
      <c r="G14" s="62">
        <f>+G12*G8</f>
        <v>150</v>
      </c>
      <c r="H14" s="77" t="s">
        <v>61</v>
      </c>
      <c r="I14" s="41"/>
      <c r="J14" s="75"/>
    </row>
    <row r="15" spans="1:17" ht="15.75" thickBot="1" x14ac:dyDescent="0.3">
      <c r="A15" s="51"/>
      <c r="B15" s="41"/>
      <c r="C15" s="41"/>
      <c r="D15" s="41"/>
      <c r="E15" s="46"/>
      <c r="F15" s="78" t="s">
        <v>65</v>
      </c>
      <c r="G15" s="62">
        <f>+G14+2</f>
        <v>152</v>
      </c>
      <c r="H15" s="57" t="s">
        <v>61</v>
      </c>
      <c r="I15" s="41"/>
      <c r="J15" s="75"/>
      <c r="N15" t="s">
        <v>66</v>
      </c>
    </row>
    <row r="16" spans="1:17" ht="15.75" thickTop="1" x14ac:dyDescent="0.25">
      <c r="A16" s="41"/>
      <c r="B16" s="79" t="s">
        <v>76</v>
      </c>
      <c r="C16" s="80">
        <f>+G15</f>
        <v>152</v>
      </c>
      <c r="D16" s="81" t="s">
        <v>67</v>
      </c>
      <c r="E16" s="41"/>
      <c r="F16" s="55" t="s">
        <v>68</v>
      </c>
      <c r="G16" s="82">
        <f>1.2*(C13/100)*2.2</f>
        <v>0.92400000000000004</v>
      </c>
      <c r="H16" s="57" t="s">
        <v>31</v>
      </c>
      <c r="I16" s="41"/>
      <c r="J16" s="75"/>
    </row>
    <row r="17" spans="1:13" ht="15.75" thickBot="1" x14ac:dyDescent="0.3">
      <c r="A17" s="41"/>
      <c r="B17" s="83" t="s">
        <v>69</v>
      </c>
      <c r="C17" s="84">
        <f>+G17</f>
        <v>8.9239999999999995</v>
      </c>
      <c r="D17" s="85" t="s">
        <v>70</v>
      </c>
      <c r="E17" s="41"/>
      <c r="F17" s="86" t="s">
        <v>71</v>
      </c>
      <c r="G17" s="87">
        <f>+C10+G16+C9</f>
        <v>8.9239999999999995</v>
      </c>
      <c r="H17" s="98" t="s">
        <v>31</v>
      </c>
      <c r="I17" s="41"/>
    </row>
    <row r="18" spans="1:13" ht="6.6" customHeight="1" thickTop="1" x14ac:dyDescent="0.25">
      <c r="A18" s="41"/>
      <c r="B18" s="41"/>
      <c r="C18" s="41"/>
      <c r="D18" s="41"/>
      <c r="E18" s="41"/>
      <c r="F18" s="41"/>
      <c r="G18" s="41"/>
      <c r="H18" s="41"/>
      <c r="I18" s="41"/>
    </row>
    <row r="19" spans="1:13" x14ac:dyDescent="0.25">
      <c r="A19" s="3"/>
      <c r="F19" s="3"/>
      <c r="G19" s="3"/>
      <c r="H19" s="3"/>
      <c r="I19" s="3"/>
    </row>
    <row r="20" spans="1:13" x14ac:dyDescent="0.25">
      <c r="A20" s="3"/>
      <c r="F20" s="3"/>
      <c r="G20" s="3"/>
      <c r="H20" s="3"/>
      <c r="I20" s="3"/>
    </row>
    <row r="21" spans="1:13" x14ac:dyDescent="0.25">
      <c r="A21" s="3"/>
      <c r="F21" s="3"/>
      <c r="G21" s="3"/>
      <c r="H21" s="3"/>
      <c r="I21" s="3"/>
    </row>
    <row r="22" spans="1:13" x14ac:dyDescent="0.25">
      <c r="A22" s="3"/>
      <c r="F22" s="3"/>
      <c r="G22" s="3"/>
      <c r="H22" s="3"/>
      <c r="I22" s="3"/>
      <c r="M22" s="88"/>
    </row>
    <row r="23" spans="1:13" x14ac:dyDescent="0.25">
      <c r="A23" s="3"/>
      <c r="F23" s="3"/>
      <c r="G23" s="3"/>
      <c r="H23" s="3"/>
      <c r="I23" s="3"/>
    </row>
    <row r="24" spans="1:13" x14ac:dyDescent="0.25">
      <c r="A24" s="3"/>
      <c r="F24" s="3"/>
      <c r="G24" s="3"/>
      <c r="H24" s="3"/>
      <c r="I24" s="3"/>
    </row>
    <row r="25" spans="1:13" x14ac:dyDescent="0.25">
      <c r="A25" s="3"/>
      <c r="F25" s="3"/>
      <c r="G25" s="3"/>
      <c r="H25" s="3"/>
      <c r="I25" s="3"/>
    </row>
    <row r="26" spans="1:13" x14ac:dyDescent="0.25">
      <c r="A26" s="3"/>
      <c r="F26" s="3"/>
      <c r="G26" s="3"/>
      <c r="H26" s="3"/>
      <c r="I26" s="3"/>
    </row>
    <row r="27" spans="1:13" x14ac:dyDescent="0.25">
      <c r="A27" s="3"/>
      <c r="F27" s="3"/>
      <c r="G27" s="3"/>
      <c r="H27" s="3"/>
      <c r="I27" s="3"/>
    </row>
    <row r="28" spans="1:13" x14ac:dyDescent="0.25">
      <c r="A28" s="3"/>
      <c r="F28" s="3"/>
      <c r="G28" s="3"/>
      <c r="H28" s="3"/>
      <c r="I28" s="3"/>
    </row>
    <row r="29" spans="1:13" x14ac:dyDescent="0.25">
      <c r="A29" s="3"/>
      <c r="F29" s="3"/>
      <c r="G29" s="3"/>
      <c r="H29" s="3"/>
      <c r="I29" s="3"/>
    </row>
    <row r="30" spans="1:13" x14ac:dyDescent="0.25">
      <c r="A30" s="3"/>
      <c r="F30" s="3"/>
      <c r="G30" s="3"/>
      <c r="H30" s="3"/>
      <c r="I30" s="3"/>
    </row>
  </sheetData>
  <dataValidations count="11">
    <dataValidation type="whole" operator="greaterThanOrEqual" allowBlank="1" showInputMessage="1" showErrorMessage="1" sqref="G4">
      <formula1>1</formula1>
    </dataValidation>
    <dataValidation type="whole" operator="greaterThanOrEqual" allowBlank="1" showInputMessage="1" showErrorMessage="1" prompt="Enter the total lenght of the 2&quot; Schedule 40 supply line." sqref="C13">
      <formula1>1</formula1>
    </dataValidation>
    <dataValidation allowBlank="1" showInputMessage="1" showErrorMessage="1" error="Spacing between dosing holes must be between three and five feet." prompt="The difference in elevation from the pump to the end of the manifold.  Remember that the pump will be four or five feet below ground level in the pumping chamber." sqref="C10"/>
    <dataValidation type="decimal" allowBlank="1" showInputMessage="1" showErrorMessage="1" error="Pressure head must be between one and five feet." prompt="The pressure required for even distribution and is usually specified between two and four feet." sqref="C9">
      <formula1>1</formula1>
      <formula2>5</formula2>
    </dataValidation>
    <dataValidation type="decimal" allowBlank="1" showInputMessage="1" showErrorMessage="1" error="Hole size must be between 1/8 and 7/32." prompt="Enter the hole diameter in thirty-seconds.  Enter 4 for 1/8&quot;, 5 for 5/32&quot;, 6 for 3/16&quot;, and 7 for 7/32&quot;." sqref="C8">
      <formula1>4</formula1>
      <formula2>7</formula2>
    </dataValidation>
    <dataValidation type="decimal" allowBlank="1" showInputMessage="1" showErrorMessage="1" error="Spacing between dosing holes must be between three and five feet." prompt="Enter the spacing between the dosing holes in the laterals (lines)." sqref="C7">
      <formula1>3</formula1>
      <formula2>5</formula2>
    </dataValidation>
    <dataValidation type="decimal" allowBlank="1" showInputMessage="1" showErrorMessage="1" errorTitle="bad perc" error="This perculation time is outside the limits of this design.  Please consult your local health department." prompt="Enter the perculation time in minutes per inch._x000a_" sqref="C4">
      <formula1>5</formula1>
      <formula2>120</formula2>
    </dataValidation>
    <dataValidation type="whole" operator="greaterThanOrEqual" allowBlank="1" showInputMessage="1" showErrorMessage="1" error="Enter whole numbers only. You must have at least one bedroom.  If not, use the bottom tab to the right &quot;Sewage Figurer Upper&quot;. " prompt="Enter the total number of bedrooms." sqref="C5">
      <formula1>1</formula1>
    </dataValidation>
    <dataValidation type="decimal" operator="greaterThanOrEqual" allowBlank="1" showInputMessage="1" showErrorMessage="1" sqref="C6">
      <formula1>5</formula1>
    </dataValidation>
    <dataValidation type="decimal" allowBlank="1" showInputMessage="1" showErrorMessage="1" error="Dosing pipe must be at least one inch in diameter, but not more than three inches in diameter." prompt="Enter the PVC Schedule 40 pipe diameter of 1, 1.25, 1.5, 2, or 3 inches._x000a__x000a_" sqref="C11">
      <formula1>1</formula1>
      <formula2>3</formula2>
    </dataValidation>
    <dataValidation type="whole" allowBlank="1" showInputMessage="1" showErrorMessage="1" error="You must enter a whole number between 2 and 4 times per day." prompt="Enter the number of times, from two to four, per day, that you want to dose the field." sqref="C12">
      <formula1>1</formula1>
      <formula2>4</formula2>
    </dataValidation>
  </dataValidations>
  <pageMargins left="0.7" right="0.7" top="0.75" bottom="0.75" header="0.3" footer="0.3"/>
  <pageSetup scale="14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H18"/>
  <sheetViews>
    <sheetView showGridLines="0" showRowColHeaders="0" zoomScale="145" zoomScaleNormal="145" workbookViewId="0">
      <selection activeCell="B6" sqref="B6"/>
    </sheetView>
  </sheetViews>
  <sheetFormatPr defaultRowHeight="15" x14ac:dyDescent="0.25"/>
  <cols>
    <col min="1" max="1" width="22.7109375" customWidth="1"/>
    <col min="2" max="2" width="13.140625" customWidth="1"/>
    <col min="3" max="3" width="12.85546875" customWidth="1"/>
    <col min="4" max="4" width="2.5703125" customWidth="1"/>
    <col min="5" max="5" width="21" customWidth="1"/>
  </cols>
  <sheetData>
    <row r="1" spans="1:8" ht="16.5" thickTop="1" x14ac:dyDescent="0.25">
      <c r="A1" s="42" t="str">
        <f>IF(+F3&gt;3000, "Environmental Engineering must review these plans", " ")</f>
        <v xml:space="preserve"> </v>
      </c>
      <c r="B1" s="41"/>
      <c r="C1" s="41"/>
      <c r="D1" s="41"/>
      <c r="E1" s="41"/>
      <c r="F1" s="41"/>
      <c r="G1" s="41"/>
      <c r="H1" s="41"/>
    </row>
    <row r="2" spans="1:8" ht="16.5" thickBot="1" x14ac:dyDescent="0.3">
      <c r="A2" s="43" t="str">
        <f>IF(AND(+F3&gt;1000,+F3&lt;=3000), "Consult with the Public Health Sanitation Division", " ")</f>
        <v xml:space="preserve"> </v>
      </c>
      <c r="B2" s="41"/>
      <c r="C2" s="41"/>
      <c r="D2" s="41"/>
      <c r="E2" s="41"/>
      <c r="F2" s="41"/>
      <c r="G2" s="41"/>
      <c r="H2" s="41"/>
    </row>
    <row r="3" spans="1:8" ht="19.5" thickTop="1" thickBot="1" x14ac:dyDescent="0.4">
      <c r="A3" s="44" t="s">
        <v>156</v>
      </c>
      <c r="B3" s="45"/>
      <c r="C3" s="45"/>
      <c r="D3" s="46"/>
      <c r="E3" s="47" t="s">
        <v>9</v>
      </c>
      <c r="F3" s="48">
        <f>+B5</f>
        <v>280</v>
      </c>
      <c r="G3" s="49" t="s">
        <v>24</v>
      </c>
      <c r="H3" s="41"/>
    </row>
    <row r="4" spans="1:8" ht="15.75" thickTop="1" x14ac:dyDescent="0.25">
      <c r="A4" s="52" t="s">
        <v>26</v>
      </c>
      <c r="B4" s="53">
        <v>90</v>
      </c>
      <c r="C4" s="54" t="s">
        <v>4</v>
      </c>
      <c r="D4" s="46"/>
      <c r="E4" s="55" t="s">
        <v>27</v>
      </c>
      <c r="F4" s="56">
        <f>IF(+F3&lt;=667, 1000, IF(AND(+F3&gt;667,+F3&lt;=1500), +F3*1.5, IF(AND(+F3&gt;1500,+F3&lt;=4000), (1000+(0.75*F3)), IF(+F3&gt;4000, +F3, “Invalid”))))</f>
        <v>1000</v>
      </c>
      <c r="G4" s="57" t="s">
        <v>11</v>
      </c>
      <c r="H4" s="41"/>
    </row>
    <row r="5" spans="1:8" x14ac:dyDescent="0.25">
      <c r="A5" s="59" t="s">
        <v>155</v>
      </c>
      <c r="B5" s="13">
        <v>280</v>
      </c>
      <c r="C5" s="60"/>
      <c r="D5" s="46"/>
      <c r="E5" s="61" t="s">
        <v>29</v>
      </c>
      <c r="F5" s="62">
        <f>+F3*2</f>
        <v>560</v>
      </c>
      <c r="G5" s="57" t="s">
        <v>11</v>
      </c>
      <c r="H5" s="41"/>
    </row>
    <row r="6" spans="1:8" x14ac:dyDescent="0.25">
      <c r="A6" s="59" t="s">
        <v>30</v>
      </c>
      <c r="B6" s="128">
        <v>5</v>
      </c>
      <c r="C6" s="63" t="s">
        <v>31</v>
      </c>
      <c r="D6" s="46"/>
      <c r="E6" s="55" t="s">
        <v>32</v>
      </c>
      <c r="F6" s="99">
        <f>IF(AND(+B4&gt;=5,+B4&lt;=20), 0.5-(((+B4-5)*(1/15))*0.1), IF(AND(+B4&gt;20,+B4&lt;=40),0.4-(((+B4-20)*0.05)*0.1), IF(AND(+B4&gt;40,+B4&lt;=60),0.3- (((+B4-40)*0.05)*0.1), IF(AND(+B4&gt;60,+B4&lt;=90), 0.2-(((+B4-60)*(1/30))*0.1), IF(AND(+B4&gt;90,+B4&lt;=120), 0.1-(((+B4-90)*(1/30))*0.05), “Invalid”)))))</f>
        <v>0.1</v>
      </c>
      <c r="G6" s="64" t="s">
        <v>33</v>
      </c>
      <c r="H6" s="41"/>
    </row>
    <row r="7" spans="1:8" x14ac:dyDescent="0.25">
      <c r="A7" s="59" t="s">
        <v>36</v>
      </c>
      <c r="B7" s="13">
        <v>5</v>
      </c>
      <c r="C7" s="63" t="s">
        <v>31</v>
      </c>
      <c r="D7" s="46"/>
      <c r="E7" s="55" t="s">
        <v>37</v>
      </c>
      <c r="F7" s="65">
        <f>+F3/F6</f>
        <v>2800</v>
      </c>
      <c r="G7" s="57" t="s">
        <v>38</v>
      </c>
      <c r="H7" s="41"/>
    </row>
    <row r="8" spans="1:8" x14ac:dyDescent="0.25">
      <c r="A8" s="59" t="s">
        <v>41</v>
      </c>
      <c r="B8" s="13">
        <v>5</v>
      </c>
      <c r="C8" s="63" t="s">
        <v>42</v>
      </c>
      <c r="D8" s="46"/>
      <c r="E8" s="55" t="s">
        <v>43</v>
      </c>
      <c r="F8" s="65">
        <f>+F9/B7</f>
        <v>112</v>
      </c>
      <c r="G8" s="57" t="s">
        <v>44</v>
      </c>
      <c r="H8" s="41"/>
    </row>
    <row r="9" spans="1:8" x14ac:dyDescent="0.25">
      <c r="A9" s="59" t="s">
        <v>47</v>
      </c>
      <c r="B9" s="13">
        <v>3</v>
      </c>
      <c r="C9" s="63" t="s">
        <v>31</v>
      </c>
      <c r="D9" s="46"/>
      <c r="E9" s="55" t="s">
        <v>48</v>
      </c>
      <c r="F9" s="62">
        <f>+F7/B6</f>
        <v>560</v>
      </c>
      <c r="G9" s="57" t="s">
        <v>31</v>
      </c>
      <c r="H9" s="41"/>
    </row>
    <row r="10" spans="1:8" ht="23.25" x14ac:dyDescent="0.25">
      <c r="A10" s="59" t="s">
        <v>49</v>
      </c>
      <c r="B10" s="13">
        <v>5</v>
      </c>
      <c r="C10" s="63" t="s">
        <v>31</v>
      </c>
      <c r="D10" s="46"/>
      <c r="E10" s="66" t="s">
        <v>50</v>
      </c>
      <c r="F10" s="67">
        <f>(+F9/100)*1.5</f>
        <v>8.3999999999999986</v>
      </c>
      <c r="G10" s="68" t="s">
        <v>51</v>
      </c>
      <c r="H10" s="41"/>
    </row>
    <row r="11" spans="1:8" x14ac:dyDescent="0.25">
      <c r="A11" s="59" t="s">
        <v>54</v>
      </c>
      <c r="B11" s="69">
        <v>2</v>
      </c>
      <c r="C11" s="63" t="s">
        <v>55</v>
      </c>
      <c r="D11" s="46"/>
      <c r="E11" s="70" t="s">
        <v>56</v>
      </c>
      <c r="F11" s="71">
        <f>+F10*1.2666666</f>
        <v>10.639999439999999</v>
      </c>
      <c r="G11" s="72" t="s">
        <v>57</v>
      </c>
      <c r="H11" s="41"/>
    </row>
    <row r="12" spans="1:8" x14ac:dyDescent="0.25">
      <c r="A12" s="59" t="s">
        <v>58</v>
      </c>
      <c r="B12" s="69">
        <v>2</v>
      </c>
      <c r="C12" s="63" t="s">
        <v>59</v>
      </c>
      <c r="D12" s="46"/>
      <c r="E12" s="70" t="s">
        <v>60</v>
      </c>
      <c r="F12" s="73">
        <f>IF(AND(+B9=1, B8=4), 0.18, IF(AND(B9=1, B8=5), 0.29, IF(AND(B9=1, B8=6), 0.42, IF(AND(B9=1, B8=7), 0.56, IF(AND(B9=2, B8=4), 0.26, IF(AND(B9=2, B8=5), 0.41, IF(AND(B9=2, B8=6), 0.59, IF(AND(B9=2, B8=7), 0.8, IF(AND(B9=3, B8=4), 0.32,IF(AND(B9=3,B8=5), 0.5, IF(AND(B9=3, B8=6), 0.72, IF(AND(B9=3, B8=7), 0.98, IF(AND(B9=4,B8=4),0.37, IF(AND(B9=4, B8=5), 0.58, IF(AND(B9=4, B8=6), 0.83, IF(AND(B9=4, B8=7), 1.13, IF(AND(B9=5, B8=4), 0.41, IF(AND(B9=5, B8=5), 0.64, IF(AND(B9=5, B8=6), 0.94, IF(AND(B9=5, B8=7), 1.26, “Invalid”))))))))))))))))))))</f>
        <v>0.5</v>
      </c>
      <c r="G12" s="72" t="s">
        <v>61</v>
      </c>
      <c r="H12" s="41"/>
    </row>
    <row r="13" spans="1:8" x14ac:dyDescent="0.25">
      <c r="A13" s="74" t="s">
        <v>77</v>
      </c>
      <c r="B13" s="69">
        <v>35</v>
      </c>
      <c r="C13" s="57" t="s">
        <v>31</v>
      </c>
      <c r="D13" s="46"/>
      <c r="E13" s="55" t="s">
        <v>62</v>
      </c>
      <c r="F13" s="62">
        <f>(+M3+(5*(M4*(F9/100))))/B12</f>
        <v>0</v>
      </c>
      <c r="G13" s="57" t="s">
        <v>11</v>
      </c>
      <c r="H13" s="41"/>
    </row>
    <row r="14" spans="1:8" x14ac:dyDescent="0.25">
      <c r="A14" s="41"/>
      <c r="B14" s="41"/>
      <c r="C14" s="41"/>
      <c r="D14" s="46"/>
      <c r="E14" s="76" t="s">
        <v>64</v>
      </c>
      <c r="F14" s="62">
        <f>+F12*F8</f>
        <v>56</v>
      </c>
      <c r="G14" s="77" t="s">
        <v>61</v>
      </c>
      <c r="H14" s="41"/>
    </row>
    <row r="15" spans="1:8" ht="17.25" thickBot="1" x14ac:dyDescent="0.3">
      <c r="A15" s="41"/>
      <c r="B15" s="41"/>
      <c r="C15" s="41"/>
      <c r="D15" s="46"/>
      <c r="E15" s="192" t="s">
        <v>65</v>
      </c>
      <c r="F15" s="62">
        <f>+F14+2</f>
        <v>58</v>
      </c>
      <c r="G15" s="57" t="s">
        <v>61</v>
      </c>
      <c r="H15" s="41"/>
    </row>
    <row r="16" spans="1:8" ht="15.75" thickTop="1" x14ac:dyDescent="0.25">
      <c r="A16" s="79" t="s">
        <v>76</v>
      </c>
      <c r="B16" s="80">
        <f>+F15</f>
        <v>58</v>
      </c>
      <c r="C16" s="81" t="s">
        <v>67</v>
      </c>
      <c r="D16" s="41"/>
      <c r="E16" s="55" t="s">
        <v>68</v>
      </c>
      <c r="F16" s="82">
        <f>1.2*(B13/100)*2.2</f>
        <v>0.92400000000000004</v>
      </c>
      <c r="G16" s="57" t="s">
        <v>31</v>
      </c>
      <c r="H16" s="41"/>
    </row>
    <row r="17" spans="1:8" ht="15.75" thickBot="1" x14ac:dyDescent="0.3">
      <c r="A17" s="83" t="s">
        <v>69</v>
      </c>
      <c r="B17" s="84">
        <f>+F17</f>
        <v>8.9239999999999995</v>
      </c>
      <c r="C17" s="85" t="s">
        <v>70</v>
      </c>
      <c r="D17" s="41"/>
      <c r="E17" s="86" t="s">
        <v>71</v>
      </c>
      <c r="F17" s="87">
        <f>+B10+F16+B9</f>
        <v>8.9239999999999995</v>
      </c>
      <c r="G17" s="98" t="s">
        <v>31</v>
      </c>
      <c r="H17" s="41"/>
    </row>
    <row r="18" spans="1:8" ht="15.75" thickTop="1" x14ac:dyDescent="0.25">
      <c r="A18" s="41"/>
      <c r="B18" s="41"/>
      <c r="C18" s="41"/>
      <c r="D18" s="41"/>
      <c r="E18" s="41"/>
      <c r="F18" s="41"/>
      <c r="G18" s="41"/>
      <c r="H18" s="41"/>
    </row>
  </sheetData>
  <sheetProtection password="DE85" sheet="1" objects="1" scenarios="1"/>
  <dataValidations count="11">
    <dataValidation type="whole" allowBlank="1" showInputMessage="1" showErrorMessage="1" error="You must enter a whole number between 2 and 4 times per day." prompt="Enter the number of times, from two to four, per day, that you want to dose the field." sqref="B12">
      <formula1>1</formula1>
      <formula2>4</formula2>
    </dataValidation>
    <dataValidation type="decimal" allowBlank="1" showInputMessage="1" showErrorMessage="1" error="Dosing pipe must be at least one inch in diameter, but not more than three inches in diameter." prompt="Enter the PVC Schedule 40 pipe diameter of 1, 1.25, 1.5, 2, or 3 inches._x000a__x000a_" sqref="B11">
      <formula1>1</formula1>
      <formula2>3</formula2>
    </dataValidation>
    <dataValidation type="decimal" operator="greaterThanOrEqual" allowBlank="1" showInputMessage="1" showErrorMessage="1" sqref="B6">
      <formula1>5</formula1>
    </dataValidation>
    <dataValidation operator="greaterThanOrEqual" allowBlank="1" showInputMessage="1" showErrorMessage="1" error="Enter whole numbers only. You must have at least one bedroom.  If not, use the bottom tab to the right &quot;Sewage Figurer Upper&quot;. " prompt="Enter gallons per day." sqref="B5"/>
    <dataValidation type="decimal" allowBlank="1" showInputMessage="1" showErrorMessage="1" errorTitle="bad perc" error="This perculation time is outside the limits of this design.  Please consult your local health department." prompt="Enter the perculation time in minutes per inch._x000a_" sqref="B4">
      <formula1>5</formula1>
      <formula2>120</formula2>
    </dataValidation>
    <dataValidation type="decimal" allowBlank="1" showInputMessage="1" showErrorMessage="1" error="Spacing between dosing holes must be between three and five feet." prompt="Enter the spacing between the dosing holes in the laterals (lines)." sqref="B7">
      <formula1>3</formula1>
      <formula2>5</formula2>
    </dataValidation>
    <dataValidation type="decimal" allowBlank="1" showInputMessage="1" showErrorMessage="1" error="Hole size must be between 1/8 and 7/32." prompt="Enter the hole diameter in thirty-seconds.  Enter 4 for 1/8&quot;, 5 for 5/32&quot;, 6 for 3/16&quot;, and 7 for 7/32&quot;." sqref="B8">
      <formula1>4</formula1>
      <formula2>7</formula2>
    </dataValidation>
    <dataValidation type="decimal" allowBlank="1" showInputMessage="1" showErrorMessage="1" error="Pressure head must be between one and five feet." prompt="The pressure required for even distribution and is usually specified between two and four feet." sqref="B9">
      <formula1>1</formula1>
      <formula2>5</formula2>
    </dataValidation>
    <dataValidation allowBlank="1" showInputMessage="1" showErrorMessage="1" error="Spacing between dosing holes must be between three and five feet." prompt="The difference in elevation from the pump to the end of the manifold.  Remember that the pump will be four or five feet below ground level in the pumping chamber." sqref="B10"/>
    <dataValidation type="whole" operator="greaterThanOrEqual" allowBlank="1" showInputMessage="1" showErrorMessage="1" prompt="Enter the total lenght of the 2&quot; Schedule 40 supply line." sqref="B13">
      <formula1>1</formula1>
    </dataValidation>
    <dataValidation operator="greaterThanOrEqual" allowBlank="1" showInputMessage="1" showErrorMessage="1" sqref="F4"/>
  </dataValidation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I14"/>
  <sheetViews>
    <sheetView showGridLines="0" showRowColHeaders="0" zoomScale="190" zoomScaleNormal="190" workbookViewId="0">
      <selection activeCell="H11" sqref="H11"/>
    </sheetView>
  </sheetViews>
  <sheetFormatPr defaultRowHeight="15" x14ac:dyDescent="0.25"/>
  <cols>
    <col min="1" max="1" width="2.140625" customWidth="1"/>
    <col min="2" max="2" width="21.140625" customWidth="1"/>
    <col min="9" max="9" width="2.140625" customWidth="1"/>
  </cols>
  <sheetData>
    <row r="1" spans="1:9" ht="10.9" customHeight="1" x14ac:dyDescent="0.25">
      <c r="A1" s="104"/>
      <c r="B1" s="104"/>
      <c r="C1" s="104"/>
      <c r="D1" s="104"/>
      <c r="E1" s="104"/>
      <c r="F1" s="104"/>
      <c r="G1" s="104"/>
      <c r="H1" s="104"/>
      <c r="I1" s="104"/>
    </row>
    <row r="2" spans="1:9" ht="24.75" x14ac:dyDescent="0.5">
      <c r="A2" s="104"/>
      <c r="B2" s="114" t="s">
        <v>78</v>
      </c>
      <c r="C2" s="115"/>
      <c r="D2" s="115"/>
      <c r="E2" s="115"/>
      <c r="F2" s="115"/>
      <c r="G2" s="115"/>
      <c r="H2" s="115"/>
      <c r="I2" s="100"/>
    </row>
    <row r="3" spans="1:9" x14ac:dyDescent="0.25">
      <c r="A3" s="104"/>
      <c r="B3" s="115"/>
      <c r="C3" s="115"/>
      <c r="D3" s="115"/>
      <c r="E3" s="115"/>
      <c r="F3" s="115"/>
      <c r="G3" s="115"/>
      <c r="H3" s="115"/>
      <c r="I3" s="100"/>
    </row>
    <row r="4" spans="1:9" ht="18" x14ac:dyDescent="0.25">
      <c r="A4" s="104"/>
      <c r="B4" s="116" t="s">
        <v>79</v>
      </c>
      <c r="C4" s="101">
        <v>30</v>
      </c>
      <c r="D4" s="115"/>
      <c r="E4" s="115"/>
      <c r="F4" s="115"/>
      <c r="G4" s="115"/>
      <c r="H4" s="115"/>
      <c r="I4" s="100"/>
    </row>
    <row r="5" spans="1:9" ht="18" x14ac:dyDescent="0.25">
      <c r="A5" s="104"/>
      <c r="B5" s="116"/>
      <c r="C5" s="117"/>
      <c r="D5" s="115"/>
      <c r="E5" s="115"/>
      <c r="F5" s="115"/>
      <c r="G5" s="115"/>
      <c r="H5" s="115"/>
      <c r="I5" s="100"/>
    </row>
    <row r="6" spans="1:9" ht="18" x14ac:dyDescent="0.25">
      <c r="A6" s="104"/>
      <c r="B6" s="116" t="s">
        <v>80</v>
      </c>
      <c r="C6" s="118">
        <f>TAN(C4*(PI()/180))*100</f>
        <v>57.735026918962575</v>
      </c>
      <c r="D6" s="115"/>
      <c r="E6" s="115"/>
      <c r="F6" s="115"/>
      <c r="G6" s="115"/>
      <c r="H6" s="115"/>
      <c r="I6" s="100"/>
    </row>
    <row r="7" spans="1:9" ht="18" x14ac:dyDescent="0.25">
      <c r="A7" s="104"/>
      <c r="B7" s="116"/>
      <c r="C7" s="117"/>
      <c r="D7" s="115"/>
      <c r="E7" s="115"/>
      <c r="F7" s="115"/>
      <c r="G7" s="115"/>
      <c r="H7" s="115"/>
      <c r="I7" s="100"/>
    </row>
    <row r="8" spans="1:9" ht="18" x14ac:dyDescent="0.25">
      <c r="A8" s="104"/>
      <c r="B8" s="116"/>
      <c r="C8" s="117"/>
      <c r="D8" s="115"/>
      <c r="E8" s="115"/>
      <c r="F8" s="115"/>
      <c r="G8" s="115"/>
      <c r="H8" s="115"/>
      <c r="I8" s="100"/>
    </row>
    <row r="9" spans="1:9" ht="18" x14ac:dyDescent="0.25">
      <c r="A9" s="104"/>
      <c r="B9" s="116"/>
      <c r="C9" s="117"/>
      <c r="D9" s="115"/>
      <c r="E9" s="115"/>
      <c r="F9" s="115"/>
      <c r="G9" s="115"/>
      <c r="H9" s="115"/>
      <c r="I9" s="100"/>
    </row>
    <row r="10" spans="1:9" ht="18" x14ac:dyDescent="0.25">
      <c r="A10" s="104"/>
      <c r="B10" s="116" t="s">
        <v>81</v>
      </c>
      <c r="C10" s="102">
        <v>30</v>
      </c>
      <c r="D10" s="115"/>
      <c r="E10" s="115"/>
      <c r="F10" s="115"/>
      <c r="G10" s="115"/>
      <c r="H10" s="115"/>
      <c r="I10" s="100"/>
    </row>
    <row r="11" spans="1:9" ht="18" x14ac:dyDescent="0.25">
      <c r="A11" s="104"/>
      <c r="B11" s="116"/>
      <c r="C11" s="117"/>
      <c r="D11" s="115"/>
      <c r="E11" s="115"/>
      <c r="F11" s="115"/>
      <c r="G11" s="115"/>
      <c r="H11" s="115"/>
      <c r="I11" s="100"/>
    </row>
    <row r="12" spans="1:9" ht="18" x14ac:dyDescent="0.25">
      <c r="A12" s="104"/>
      <c r="B12" s="116" t="s">
        <v>82</v>
      </c>
      <c r="C12" s="118">
        <f>DEGREES(ATAN(C10/100))</f>
        <v>16.699244233993621</v>
      </c>
      <c r="D12" s="115"/>
      <c r="E12" s="115"/>
      <c r="F12" s="115"/>
      <c r="G12" s="115"/>
      <c r="H12" s="115"/>
      <c r="I12" s="100"/>
    </row>
    <row r="13" spans="1:9" x14ac:dyDescent="0.25">
      <c r="A13" s="104"/>
      <c r="B13" s="115"/>
      <c r="C13" s="115"/>
      <c r="D13" s="115"/>
      <c r="E13" s="115"/>
      <c r="F13" s="115"/>
      <c r="G13" s="115"/>
      <c r="H13" s="115"/>
      <c r="I13" s="100"/>
    </row>
    <row r="14" spans="1:9" x14ac:dyDescent="0.25">
      <c r="A14" s="104"/>
      <c r="B14" s="103" t="s">
        <v>83</v>
      </c>
      <c r="C14" s="100"/>
      <c r="D14" s="100"/>
      <c r="E14" s="100"/>
      <c r="F14" s="100"/>
      <c r="G14" s="100"/>
      <c r="H14" s="100"/>
      <c r="I14" s="100"/>
    </row>
  </sheetData>
  <sheetProtection password="DE85" sheet="1" objects="1" scenarios="1"/>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2060"/>
  </sheetPr>
  <dimension ref="A1:F23"/>
  <sheetViews>
    <sheetView showGridLines="0" showRowColHeaders="0" zoomScale="115" zoomScaleNormal="115" workbookViewId="0">
      <selection activeCell="K22" sqref="K22"/>
    </sheetView>
  </sheetViews>
  <sheetFormatPr defaultRowHeight="15" x14ac:dyDescent="0.25"/>
  <cols>
    <col min="1" max="1" width="1.140625" customWidth="1"/>
    <col min="2" max="2" width="2.28515625" customWidth="1"/>
    <col min="3" max="3" width="39.85546875" customWidth="1"/>
    <col min="6" max="6" width="1.7109375" customWidth="1"/>
    <col min="7" max="7" width="2.42578125" customWidth="1"/>
  </cols>
  <sheetData>
    <row r="1" spans="1:6" ht="8.4499999999999993" customHeight="1" x14ac:dyDescent="0.25">
      <c r="A1" s="106"/>
      <c r="B1" s="106"/>
      <c r="C1" s="106"/>
      <c r="D1" s="106"/>
      <c r="E1" s="106"/>
      <c r="F1" s="106"/>
    </row>
    <row r="2" spans="1:6" ht="31.5" x14ac:dyDescent="0.6">
      <c r="A2" s="106"/>
      <c r="B2" s="121" t="s">
        <v>91</v>
      </c>
      <c r="C2" s="120"/>
      <c r="D2" s="107"/>
      <c r="E2" s="107"/>
      <c r="F2" s="106"/>
    </row>
    <row r="3" spans="1:6" x14ac:dyDescent="0.25">
      <c r="A3" s="106"/>
      <c r="B3" s="107"/>
      <c r="C3" s="107"/>
      <c r="D3" s="107"/>
      <c r="E3" s="107"/>
      <c r="F3" s="106"/>
    </row>
    <row r="4" spans="1:6" ht="18.75" x14ac:dyDescent="0.3">
      <c r="A4" s="106"/>
      <c r="B4" s="107"/>
      <c r="C4" s="108" t="s">
        <v>84</v>
      </c>
      <c r="D4" s="112">
        <v>72</v>
      </c>
      <c r="E4" s="107"/>
      <c r="F4" s="106"/>
    </row>
    <row r="5" spans="1:6" ht="18.75" x14ac:dyDescent="0.3">
      <c r="A5" s="106"/>
      <c r="B5" s="107"/>
      <c r="C5" s="108" t="s">
        <v>85</v>
      </c>
      <c r="D5" s="112">
        <v>60</v>
      </c>
      <c r="E5" s="107"/>
      <c r="F5" s="106"/>
    </row>
    <row r="6" spans="1:6" ht="30.75" x14ac:dyDescent="0.3">
      <c r="A6" s="106"/>
      <c r="B6" s="107"/>
      <c r="C6" s="111" t="s">
        <v>86</v>
      </c>
      <c r="D6" s="112">
        <v>50</v>
      </c>
      <c r="E6" s="107"/>
      <c r="F6" s="106"/>
    </row>
    <row r="7" spans="1:6" ht="9.6" customHeight="1" x14ac:dyDescent="0.3">
      <c r="A7" s="106"/>
      <c r="B7" s="107"/>
      <c r="C7" s="109"/>
      <c r="D7" s="110"/>
      <c r="E7" s="107"/>
      <c r="F7" s="106"/>
    </row>
    <row r="8" spans="1:6" ht="16.899999999999999" customHeight="1" x14ac:dyDescent="0.35">
      <c r="A8" s="106"/>
      <c r="B8" s="107"/>
      <c r="C8" s="108" t="s">
        <v>87</v>
      </c>
      <c r="D8" s="113">
        <f>(D4/12)*(D5/12)*(D6/12)*7.481</f>
        <v>935.12500000000011</v>
      </c>
      <c r="E8" s="107"/>
      <c r="F8" s="106"/>
    </row>
    <row r="9" spans="1:6" ht="8.4499999999999993" customHeight="1" x14ac:dyDescent="0.25">
      <c r="A9" s="106"/>
      <c r="B9" s="107"/>
      <c r="C9" s="107"/>
      <c r="D9" s="107"/>
      <c r="E9" s="107"/>
      <c r="F9" s="106"/>
    </row>
    <row r="10" spans="1:6" ht="7.15" customHeight="1" x14ac:dyDescent="0.25">
      <c r="A10" s="106"/>
      <c r="B10" s="106"/>
      <c r="C10" s="106"/>
      <c r="D10" s="106"/>
      <c r="E10" s="106"/>
      <c r="F10" s="106"/>
    </row>
    <row r="11" spans="1:6" ht="31.5" x14ac:dyDescent="0.6">
      <c r="A11" s="106"/>
      <c r="B11" s="107"/>
      <c r="C11" s="121" t="s">
        <v>100</v>
      </c>
      <c r="D11" s="107"/>
      <c r="E11" s="107"/>
      <c r="F11" s="106"/>
    </row>
    <row r="12" spans="1:6" x14ac:dyDescent="0.25">
      <c r="A12" s="106"/>
      <c r="B12" s="107"/>
      <c r="C12" s="122" t="s">
        <v>92</v>
      </c>
      <c r="D12" s="107"/>
      <c r="E12" s="107"/>
      <c r="F12" s="106"/>
    </row>
    <row r="13" spans="1:6" x14ac:dyDescent="0.25">
      <c r="A13" s="106"/>
      <c r="B13" s="107"/>
      <c r="C13" s="122" t="s">
        <v>93</v>
      </c>
      <c r="D13" s="126">
        <v>48</v>
      </c>
      <c r="E13" s="107" t="s">
        <v>96</v>
      </c>
      <c r="F13" s="106"/>
    </row>
    <row r="14" spans="1:6" x14ac:dyDescent="0.25">
      <c r="A14" s="106"/>
      <c r="B14" s="107"/>
      <c r="C14" s="122" t="s">
        <v>94</v>
      </c>
      <c r="D14" s="127">
        <v>1000</v>
      </c>
      <c r="E14" s="107" t="s">
        <v>11</v>
      </c>
      <c r="F14" s="106"/>
    </row>
    <row r="15" spans="1:6" x14ac:dyDescent="0.25">
      <c r="A15" s="106"/>
      <c r="B15" s="107"/>
      <c r="C15" s="122" t="s">
        <v>95</v>
      </c>
      <c r="D15" s="126">
        <v>170</v>
      </c>
      <c r="E15" s="107" t="s">
        <v>11</v>
      </c>
      <c r="F15" s="106"/>
    </row>
    <row r="16" spans="1:6" ht="15.75" x14ac:dyDescent="0.25">
      <c r="A16" s="106"/>
      <c r="B16" s="107"/>
      <c r="C16" s="123" t="s">
        <v>99</v>
      </c>
      <c r="D16" s="125">
        <f>+D15/(D14/D13)</f>
        <v>8.16</v>
      </c>
      <c r="E16" s="124" t="s">
        <v>96</v>
      </c>
      <c r="F16" s="106"/>
    </row>
    <row r="17" spans="1:6" ht="7.15" customHeight="1" x14ac:dyDescent="0.25">
      <c r="A17" s="106"/>
      <c r="B17" s="106"/>
      <c r="C17" s="106"/>
      <c r="D17" s="106"/>
      <c r="E17" s="106"/>
      <c r="F17" s="106"/>
    </row>
    <row r="18" spans="1:6" ht="31.5" x14ac:dyDescent="0.6">
      <c r="A18" s="106"/>
      <c r="B18" s="107"/>
      <c r="C18" s="121" t="s">
        <v>101</v>
      </c>
      <c r="D18" s="107"/>
      <c r="E18" s="107"/>
      <c r="F18" s="106"/>
    </row>
    <row r="19" spans="1:6" x14ac:dyDescent="0.25">
      <c r="A19" s="106"/>
      <c r="B19" s="107"/>
      <c r="C19" s="122" t="s">
        <v>97</v>
      </c>
      <c r="D19" s="126">
        <v>72</v>
      </c>
      <c r="E19" s="107" t="s">
        <v>96</v>
      </c>
      <c r="F19" s="106"/>
    </row>
    <row r="20" spans="1:6" x14ac:dyDescent="0.25">
      <c r="A20" s="106"/>
      <c r="B20" s="107"/>
      <c r="C20" s="122" t="s">
        <v>98</v>
      </c>
      <c r="D20" s="126">
        <v>48</v>
      </c>
      <c r="E20" s="107" t="s">
        <v>96</v>
      </c>
      <c r="F20" s="106"/>
    </row>
    <row r="21" spans="1:6" x14ac:dyDescent="0.25">
      <c r="A21" s="106"/>
      <c r="B21" s="107"/>
      <c r="C21" s="122" t="s">
        <v>95</v>
      </c>
      <c r="D21" s="126">
        <v>170</v>
      </c>
      <c r="E21" s="107" t="s">
        <v>11</v>
      </c>
      <c r="F21" s="106"/>
    </row>
    <row r="22" spans="1:6" ht="15.75" x14ac:dyDescent="0.25">
      <c r="A22" s="106"/>
      <c r="B22" s="107"/>
      <c r="C22" s="123" t="s">
        <v>99</v>
      </c>
      <c r="D22" s="125">
        <f>+D21/((D19/12)*(D20/12)*(1/12)*7.481)</f>
        <v>11.362117363988771</v>
      </c>
      <c r="E22" s="124" t="s">
        <v>96</v>
      </c>
      <c r="F22" s="106"/>
    </row>
    <row r="23" spans="1:6" ht="8.4499999999999993" customHeight="1" x14ac:dyDescent="0.25">
      <c r="A23" s="106"/>
      <c r="B23" s="106"/>
      <c r="C23" s="106"/>
      <c r="D23" s="106"/>
      <c r="E23" s="106"/>
      <c r="F23" s="106"/>
    </row>
  </sheetData>
  <sheetProtection password="DE85" sheet="1" objects="1" scenarios="1"/>
  <dataValidations count="3">
    <dataValidation type="decimal" operator="greaterThan" allowBlank="1" showInputMessage="1" showErrorMessage="1" error="You must enter a number greater than zero." prompt="Enter the interior length of the inside of the tank in iniches." sqref="D4">
      <formula1>0</formula1>
    </dataValidation>
    <dataValidation type="decimal" operator="greaterThan" allowBlank="1" showInputMessage="1" showErrorMessage="1" error="You must enter a number greater than zero." prompt="Enter the interior width of the inside of the tank in inches." sqref="D5">
      <formula1>0</formula1>
    </dataValidation>
    <dataValidation type="decimal" operator="greaterThan" allowBlank="1" showInputMessage="1" showErrorMessage="1" error="You must enter a number greater than zero." prompt="Enter the distance from the bottom of the tank to the bottom of the outlet, in inches." sqref="D6">
      <formula1>0</formula1>
    </dataValidation>
  </dataValidation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tint="-0.89999084444715716"/>
  </sheetPr>
  <dimension ref="A1:K19"/>
  <sheetViews>
    <sheetView showGridLines="0" showRowColHeaders="0" zoomScale="130" zoomScaleNormal="130" workbookViewId="0">
      <selection activeCell="I17" sqref="I17"/>
    </sheetView>
  </sheetViews>
  <sheetFormatPr defaultRowHeight="15" x14ac:dyDescent="0.25"/>
  <cols>
    <col min="1" max="1" width="1.28515625" customWidth="1"/>
    <col min="3" max="3" width="16.5703125" customWidth="1"/>
    <col min="4" max="4" width="16.85546875" customWidth="1"/>
    <col min="5" max="5" width="18" customWidth="1"/>
    <col min="6" max="7" width="20.85546875" customWidth="1"/>
    <col min="8" max="8" width="1" customWidth="1"/>
    <col min="9" max="9" width="27.28515625" customWidth="1"/>
    <col min="10" max="10" width="9.5703125" bestFit="1" customWidth="1"/>
    <col min="11" max="11" width="10.5703125" customWidth="1"/>
  </cols>
  <sheetData>
    <row r="1" spans="1:11" ht="7.15" customHeight="1" x14ac:dyDescent="0.25">
      <c r="A1" s="41"/>
      <c r="B1" s="41"/>
      <c r="C1" s="41"/>
      <c r="D1" s="41"/>
      <c r="E1" s="41"/>
      <c r="F1" s="41"/>
      <c r="G1" s="41"/>
      <c r="H1" s="41"/>
    </row>
    <row r="2" spans="1:11" ht="18.75" x14ac:dyDescent="0.3">
      <c r="A2" s="41"/>
      <c r="B2" s="129"/>
      <c r="C2" s="130" t="s">
        <v>114</v>
      </c>
      <c r="D2" s="131"/>
      <c r="E2" s="131"/>
      <c r="F2" s="131"/>
      <c r="G2" s="168"/>
      <c r="H2" s="41"/>
    </row>
    <row r="3" spans="1:11" x14ac:dyDescent="0.25">
      <c r="A3" s="41"/>
      <c r="B3" s="133"/>
      <c r="C3" s="134" t="s">
        <v>104</v>
      </c>
      <c r="D3" s="134" t="s">
        <v>105</v>
      </c>
      <c r="E3" s="134" t="s">
        <v>106</v>
      </c>
      <c r="F3" s="165" t="s">
        <v>107</v>
      </c>
      <c r="G3" s="134" t="s">
        <v>141</v>
      </c>
      <c r="H3" s="41"/>
    </row>
    <row r="4" spans="1:11" x14ac:dyDescent="0.25">
      <c r="A4" s="41"/>
      <c r="B4" s="135" t="s">
        <v>108</v>
      </c>
      <c r="C4" s="138" t="s">
        <v>154</v>
      </c>
      <c r="D4" s="136" t="s">
        <v>116</v>
      </c>
      <c r="E4" s="138" t="s">
        <v>154</v>
      </c>
      <c r="F4" s="166" t="s">
        <v>102</v>
      </c>
      <c r="G4" s="138" t="s">
        <v>154</v>
      </c>
      <c r="H4" s="41"/>
    </row>
    <row r="5" spans="1:11" ht="60" x14ac:dyDescent="0.25">
      <c r="A5" s="41"/>
      <c r="B5" s="135" t="s">
        <v>109</v>
      </c>
      <c r="C5" s="136" t="s">
        <v>119</v>
      </c>
      <c r="D5" s="136" t="s">
        <v>117</v>
      </c>
      <c r="E5" s="191" t="s">
        <v>154</v>
      </c>
      <c r="F5" s="167" t="s">
        <v>103</v>
      </c>
      <c r="G5" s="136" t="s">
        <v>142</v>
      </c>
      <c r="H5" s="41"/>
      <c r="J5" t="s">
        <v>12</v>
      </c>
    </row>
    <row r="6" spans="1:11" ht="53.45" customHeight="1" x14ac:dyDescent="0.25">
      <c r="A6" s="41"/>
      <c r="B6" s="135" t="s">
        <v>110</v>
      </c>
      <c r="C6" s="136" t="s">
        <v>120</v>
      </c>
      <c r="D6" s="136" t="s">
        <v>23</v>
      </c>
      <c r="E6" s="136" t="s">
        <v>115</v>
      </c>
      <c r="F6" s="191" t="s">
        <v>154</v>
      </c>
      <c r="G6" s="191" t="s">
        <v>154</v>
      </c>
      <c r="H6" s="41"/>
      <c r="I6" s="176" t="s">
        <v>143</v>
      </c>
      <c r="J6" s="177"/>
      <c r="K6" s="178"/>
    </row>
    <row r="7" spans="1:11" x14ac:dyDescent="0.25">
      <c r="A7" s="41"/>
      <c r="B7" s="135" t="s">
        <v>111</v>
      </c>
      <c r="C7" s="138" t="s">
        <v>154</v>
      </c>
      <c r="D7" s="138" t="s">
        <v>154</v>
      </c>
      <c r="E7" s="138" t="s">
        <v>154</v>
      </c>
      <c r="F7" s="138" t="s">
        <v>154</v>
      </c>
      <c r="G7" s="138" t="s">
        <v>154</v>
      </c>
      <c r="H7" s="41"/>
      <c r="I7" s="171" t="s">
        <v>144</v>
      </c>
      <c r="J7" s="175">
        <v>3</v>
      </c>
      <c r="K7" s="172" t="s">
        <v>31</v>
      </c>
    </row>
    <row r="8" spans="1:11" x14ac:dyDescent="0.25">
      <c r="A8" s="41"/>
      <c r="B8" s="135" t="s">
        <v>112</v>
      </c>
      <c r="C8" s="138" t="s">
        <v>154</v>
      </c>
      <c r="D8" s="138" t="s">
        <v>154</v>
      </c>
      <c r="E8" s="138" t="s">
        <v>154</v>
      </c>
      <c r="F8" s="138" t="s">
        <v>154</v>
      </c>
      <c r="G8" s="138" t="s">
        <v>154</v>
      </c>
      <c r="H8" s="41"/>
      <c r="I8" s="171" t="s">
        <v>145</v>
      </c>
      <c r="J8" s="175">
        <v>4.5</v>
      </c>
      <c r="K8" s="172" t="s">
        <v>31</v>
      </c>
    </row>
    <row r="9" spans="1:11" ht="60" x14ac:dyDescent="0.25">
      <c r="A9" s="41"/>
      <c r="B9" s="135" t="s">
        <v>113</v>
      </c>
      <c r="C9" s="136" t="s">
        <v>121</v>
      </c>
      <c r="D9" s="137" t="s">
        <v>118</v>
      </c>
      <c r="E9" s="191" t="s">
        <v>154</v>
      </c>
      <c r="F9" s="191" t="s">
        <v>154</v>
      </c>
      <c r="G9" s="191" t="s">
        <v>154</v>
      </c>
      <c r="H9" s="41"/>
      <c r="I9" s="179" t="s">
        <v>146</v>
      </c>
      <c r="J9" s="185">
        <f>ROUNDUP(((J7*J8)*1.67),0)</f>
        <v>23</v>
      </c>
      <c r="K9" s="180" t="s">
        <v>147</v>
      </c>
    </row>
    <row r="10" spans="1:11" x14ac:dyDescent="0.25">
      <c r="A10" s="41"/>
      <c r="B10" s="41"/>
      <c r="C10" s="41"/>
      <c r="D10" s="41"/>
      <c r="E10" s="41"/>
      <c r="F10" s="41"/>
      <c r="G10" s="169"/>
      <c r="H10" s="41"/>
      <c r="I10" s="173" t="s">
        <v>148</v>
      </c>
      <c r="J10" s="186">
        <f>ROUNDUP(((J7*J8)/0.75),0)</f>
        <v>18</v>
      </c>
      <c r="K10" s="174" t="s">
        <v>147</v>
      </c>
    </row>
    <row r="11" spans="1:11" ht="18.75" x14ac:dyDescent="0.3">
      <c r="A11" s="41"/>
      <c r="B11" s="129"/>
      <c r="C11" s="130" t="s">
        <v>149</v>
      </c>
      <c r="D11" s="131"/>
      <c r="E11" s="131"/>
      <c r="F11" s="131"/>
      <c r="G11" s="132"/>
      <c r="H11" s="41"/>
      <c r="I11" s="177"/>
      <c r="J11" s="177"/>
      <c r="K11" s="178"/>
    </row>
    <row r="12" spans="1:11" x14ac:dyDescent="0.25">
      <c r="A12" s="41"/>
      <c r="B12" s="133"/>
      <c r="C12" s="134">
        <v>4</v>
      </c>
      <c r="D12" s="134">
        <v>5</v>
      </c>
      <c r="E12" s="134">
        <v>6.25</v>
      </c>
      <c r="F12" s="165">
        <v>7.14</v>
      </c>
      <c r="G12" s="134">
        <v>8.33</v>
      </c>
      <c r="H12" s="41"/>
      <c r="I12" s="33" t="s">
        <v>150</v>
      </c>
      <c r="J12" s="33"/>
      <c r="K12" s="190"/>
    </row>
    <row r="13" spans="1:11" x14ac:dyDescent="0.25">
      <c r="A13" s="41"/>
      <c r="B13" s="135" t="s">
        <v>108</v>
      </c>
      <c r="C13" s="181">
        <f>4*1.5*1.67</f>
        <v>10.02</v>
      </c>
      <c r="D13" s="182">
        <f>D12*1.5*1.67</f>
        <v>12.524999999999999</v>
      </c>
      <c r="E13" s="181">
        <f t="shared" ref="E13:G13" si="0">E12*1.5*1.67</f>
        <v>15.65625</v>
      </c>
      <c r="F13" s="183">
        <f t="shared" si="0"/>
        <v>17.885699999999996</v>
      </c>
      <c r="G13" s="184">
        <f t="shared" si="0"/>
        <v>20.86665</v>
      </c>
      <c r="H13" s="41"/>
      <c r="I13" s="33" t="s">
        <v>151</v>
      </c>
      <c r="J13" s="33"/>
      <c r="K13" s="189"/>
    </row>
    <row r="14" spans="1:11" x14ac:dyDescent="0.25">
      <c r="A14" s="41"/>
      <c r="B14" s="135" t="s">
        <v>109</v>
      </c>
      <c r="C14" s="182">
        <f>C12*2*1.67</f>
        <v>13.36</v>
      </c>
      <c r="D14" s="182">
        <f t="shared" ref="D14:G14" si="1">D12*2*1.67</f>
        <v>16.7</v>
      </c>
      <c r="E14" s="181">
        <f t="shared" si="1"/>
        <v>20.875</v>
      </c>
      <c r="F14" s="183">
        <f t="shared" si="1"/>
        <v>23.847599999999996</v>
      </c>
      <c r="G14" s="183">
        <f t="shared" si="1"/>
        <v>27.822199999999999</v>
      </c>
      <c r="H14" s="41"/>
      <c r="I14" s="33" t="s">
        <v>153</v>
      </c>
      <c r="J14" s="33"/>
      <c r="K14" s="189"/>
    </row>
    <row r="15" spans="1:11" x14ac:dyDescent="0.25">
      <c r="A15" s="41"/>
      <c r="B15" s="135" t="s">
        <v>110</v>
      </c>
      <c r="C15" s="182">
        <f>C12*3*1.67</f>
        <v>20.04</v>
      </c>
      <c r="D15" s="182">
        <f>(+D12*3)/0.6</f>
        <v>25</v>
      </c>
      <c r="E15" s="182">
        <f t="shared" ref="E15:G15" si="2">E12*3*1.67</f>
        <v>31.3125</v>
      </c>
      <c r="F15" s="184">
        <f t="shared" si="2"/>
        <v>35.771399999999993</v>
      </c>
      <c r="G15" s="184">
        <f t="shared" si="2"/>
        <v>41.7333</v>
      </c>
      <c r="H15" s="41"/>
      <c r="I15" s="187" t="s">
        <v>152</v>
      </c>
      <c r="J15" s="187"/>
      <c r="K15" s="188"/>
    </row>
    <row r="16" spans="1:11" x14ac:dyDescent="0.25">
      <c r="A16" s="41"/>
      <c r="B16" s="135" t="s">
        <v>111</v>
      </c>
      <c r="C16" s="181">
        <f>C12*1.5*1.33</f>
        <v>7.98</v>
      </c>
      <c r="D16" s="181">
        <f t="shared" ref="D16:G16" si="3">D12*1.5*1.33</f>
        <v>9.9750000000000014</v>
      </c>
      <c r="E16" s="181">
        <f t="shared" si="3"/>
        <v>12.46875</v>
      </c>
      <c r="F16" s="184">
        <f t="shared" si="3"/>
        <v>14.244299999999999</v>
      </c>
      <c r="G16" s="184">
        <f t="shared" si="3"/>
        <v>16.618350000000003</v>
      </c>
      <c r="H16" s="41"/>
    </row>
    <row r="17" spans="1:8" x14ac:dyDescent="0.25">
      <c r="A17" s="41"/>
      <c r="B17" s="135" t="s">
        <v>112</v>
      </c>
      <c r="C17" s="181">
        <f>C12*2*1.33</f>
        <v>10.64</v>
      </c>
      <c r="D17" s="181">
        <f t="shared" ref="D17:G17" si="4">D12*2*1.33</f>
        <v>13.3</v>
      </c>
      <c r="E17" s="181">
        <f t="shared" si="4"/>
        <v>16.625</v>
      </c>
      <c r="F17" s="184">
        <f t="shared" si="4"/>
        <v>18.9924</v>
      </c>
      <c r="G17" s="184">
        <f t="shared" si="4"/>
        <v>22.157800000000002</v>
      </c>
      <c r="H17" s="41"/>
    </row>
    <row r="18" spans="1:8" x14ac:dyDescent="0.25">
      <c r="A18" s="41"/>
      <c r="B18" s="135" t="s">
        <v>113</v>
      </c>
      <c r="C18" s="182">
        <f>C12*3*1.33</f>
        <v>15.96</v>
      </c>
      <c r="D18" s="182">
        <f t="shared" ref="D18:G18" si="5">D12*3*1.33</f>
        <v>19.950000000000003</v>
      </c>
      <c r="E18" s="181">
        <f t="shared" si="5"/>
        <v>24.9375</v>
      </c>
      <c r="F18" s="184">
        <f t="shared" si="5"/>
        <v>28.488599999999998</v>
      </c>
      <c r="G18" s="184">
        <f t="shared" si="5"/>
        <v>33.236700000000006</v>
      </c>
      <c r="H18" s="41"/>
    </row>
    <row r="19" spans="1:8" ht="7.9" customHeight="1" x14ac:dyDescent="0.25">
      <c r="A19" s="41"/>
      <c r="B19" s="41"/>
      <c r="C19" s="41"/>
      <c r="D19" s="41"/>
      <c r="E19" s="41"/>
      <c r="F19" s="41"/>
      <c r="G19" s="41"/>
      <c r="H19" s="41"/>
    </row>
  </sheetData>
  <sheetProtection password="DE85" sheet="1" objects="1" scenarios="1"/>
  <pageMargins left="0.7" right="0.7" top="0.75" bottom="0.75" header="0.3" footer="0.3"/>
  <pageSetup scale="130" orientation="landscape" verticalDpi="4" r:id="rId1"/>
</worksheet>
</file>

<file path=docProps/app.xml><?xml version="1.0" encoding="utf-8"?>
<Properties xmlns="http://schemas.openxmlformats.org/officeDocument/2006/extended-properties" xmlns:vt="http://schemas.openxmlformats.org/officeDocument/2006/docPropsVTypes">
  <Application>Microsoft Excel</Application>
  <DocSecurity>2</DocSecurity>
  <ScaleCrop>false</ScaleCrop>
  <HeadingPairs>
    <vt:vector size="4" baseType="variant">
      <vt:variant>
        <vt:lpstr>Worksheets</vt:lpstr>
      </vt:variant>
      <vt:variant>
        <vt:i4>7</vt:i4>
      </vt:variant>
      <vt:variant>
        <vt:lpstr>Named Ranges</vt:lpstr>
      </vt:variant>
      <vt:variant>
        <vt:i4>4</vt:i4>
      </vt:variant>
    </vt:vector>
  </HeadingPairs>
  <TitlesOfParts>
    <vt:vector size="11" baseType="lpstr">
      <vt:lpstr>Standard Dwelling</vt:lpstr>
      <vt:lpstr>Establishment not dwelling</vt:lpstr>
      <vt:lpstr>LPP Sizing Standard</vt:lpstr>
      <vt:lpstr>LPP Sizing Other</vt:lpstr>
      <vt:lpstr>Sloopie Calculator</vt:lpstr>
      <vt:lpstr>Tank Capacity</vt:lpstr>
      <vt:lpstr>Chamber Specs</vt:lpstr>
      <vt:lpstr>'Chamber Specs'!Print_Area</vt:lpstr>
      <vt:lpstr>'Establishment not dwelling'!Print_Area</vt:lpstr>
      <vt:lpstr>'LPP Sizing Standard'!Print_Area</vt:lpstr>
      <vt:lpstr>'Standard Dwelling'!Print_Area</vt:lpstr>
    </vt:vector>
  </TitlesOfParts>
  <Company>West Virginia Office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Barley, Fred R</dc:creator>
  <cp:lastModifiedBy>WVOT</cp:lastModifiedBy>
  <cp:lastPrinted>2011-08-05T19:25:52Z</cp:lastPrinted>
  <dcterms:created xsi:type="dcterms:W3CDTF">2011-06-28T11:50:21Z</dcterms:created>
  <dcterms:modified xsi:type="dcterms:W3CDTF">2017-06-27T20:21:16Z</dcterms:modified>
</cp:coreProperties>
</file>